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9191F365-AC85-CB44-B4A2-059683E48580}" xr6:coauthVersionLast="36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Lokalföreninga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2" i="1" l="1"/>
  <c r="F191" i="1"/>
  <c r="F190" i="1"/>
  <c r="F189" i="1"/>
  <c r="F188" i="1"/>
  <c r="F187" i="1"/>
  <c r="F186" i="1"/>
  <c r="F185" i="1"/>
  <c r="F182" i="1"/>
  <c r="F181" i="1"/>
  <c r="F180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7" i="1"/>
  <c r="F146" i="1"/>
  <c r="F145" i="1"/>
  <c r="F142" i="1"/>
  <c r="F141" i="1"/>
  <c r="F140" i="1"/>
  <c r="F139" i="1"/>
  <c r="F138" i="1"/>
  <c r="F135" i="1"/>
  <c r="F134" i="1"/>
  <c r="F133" i="1"/>
  <c r="F132" i="1"/>
  <c r="F131" i="1"/>
  <c r="F130" i="1"/>
  <c r="F127" i="1"/>
  <c r="F126" i="1"/>
  <c r="F125" i="1"/>
  <c r="F124" i="1"/>
  <c r="F123" i="1"/>
  <c r="F122" i="1"/>
  <c r="F119" i="1"/>
  <c r="F118" i="1"/>
  <c r="F117" i="1"/>
  <c r="F116" i="1"/>
  <c r="F113" i="1"/>
  <c r="F112" i="1"/>
  <c r="F111" i="1"/>
  <c r="F110" i="1"/>
  <c r="F107" i="1"/>
  <c r="F106" i="1"/>
  <c r="F105" i="1"/>
  <c r="F104" i="1"/>
  <c r="F103" i="1"/>
  <c r="F102" i="1"/>
  <c r="F101" i="1"/>
  <c r="F100" i="1"/>
  <c r="F99" i="1"/>
  <c r="F98" i="1"/>
  <c r="F97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5" i="1"/>
  <c r="F74" i="1"/>
  <c r="F73" i="1"/>
  <c r="F72" i="1"/>
  <c r="F71" i="1"/>
  <c r="F70" i="1"/>
  <c r="F69" i="1"/>
  <c r="F68" i="1"/>
  <c r="F67" i="1"/>
  <c r="F66" i="1"/>
  <c r="F65" i="1"/>
  <c r="F64" i="1"/>
  <c r="F61" i="1"/>
  <c r="F60" i="1"/>
  <c r="F59" i="1"/>
  <c r="F56" i="1"/>
  <c r="F55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1" i="1"/>
  <c r="F30" i="1"/>
  <c r="F29" i="1"/>
  <c r="F28" i="1"/>
  <c r="F27" i="1"/>
  <c r="F24" i="1"/>
  <c r="F23" i="1"/>
  <c r="F22" i="1"/>
  <c r="F21" i="1"/>
  <c r="F20" i="1"/>
  <c r="F19" i="1"/>
  <c r="F18" i="1"/>
  <c r="F15" i="1"/>
  <c r="F12" i="1"/>
  <c r="F11" i="1"/>
  <c r="F10" i="1"/>
  <c r="F9" i="1"/>
  <c r="F8" i="1"/>
  <c r="F7" i="1"/>
  <c r="F6" i="1"/>
  <c r="F3" i="1"/>
  <c r="F2" i="1"/>
  <c r="E192" i="1" l="1"/>
  <c r="E191" i="1"/>
  <c r="E190" i="1"/>
  <c r="E189" i="1"/>
  <c r="E188" i="1"/>
  <c r="E187" i="1"/>
  <c r="E186" i="1"/>
  <c r="E185" i="1"/>
  <c r="E182" i="1"/>
  <c r="E181" i="1"/>
  <c r="E180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7" i="1"/>
  <c r="E146" i="1"/>
  <c r="E145" i="1"/>
  <c r="E142" i="1"/>
  <c r="E141" i="1"/>
  <c r="E140" i="1"/>
  <c r="E139" i="1"/>
  <c r="E138" i="1"/>
  <c r="E135" i="1"/>
  <c r="E134" i="1"/>
  <c r="E133" i="1"/>
  <c r="E132" i="1"/>
  <c r="E131" i="1"/>
  <c r="E130" i="1"/>
  <c r="E127" i="1"/>
  <c r="E126" i="1"/>
  <c r="E125" i="1"/>
  <c r="E124" i="1"/>
  <c r="E123" i="1"/>
  <c r="E122" i="1"/>
  <c r="E119" i="1"/>
  <c r="E118" i="1"/>
  <c r="E117" i="1"/>
  <c r="E116" i="1"/>
  <c r="E113" i="1"/>
  <c r="E112" i="1"/>
  <c r="E111" i="1"/>
  <c r="E110" i="1"/>
  <c r="E107" i="1"/>
  <c r="E106" i="1"/>
  <c r="E105" i="1"/>
  <c r="E104" i="1"/>
  <c r="E103" i="1"/>
  <c r="E102" i="1"/>
  <c r="E101" i="1"/>
  <c r="E100" i="1"/>
  <c r="E99" i="1"/>
  <c r="E98" i="1"/>
  <c r="E97" i="1"/>
  <c r="E94" i="1" l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5" i="1"/>
  <c r="E74" i="1"/>
  <c r="E73" i="1"/>
  <c r="E72" i="1"/>
  <c r="E71" i="1"/>
  <c r="E70" i="1"/>
  <c r="E69" i="1"/>
  <c r="E68" i="1"/>
  <c r="E67" i="1"/>
  <c r="E66" i="1"/>
  <c r="E65" i="1"/>
  <c r="E64" i="1"/>
  <c r="E61" i="1"/>
  <c r="E60" i="1"/>
  <c r="E59" i="1"/>
  <c r="E56" i="1"/>
  <c r="E55" i="1"/>
  <c r="E54" i="1"/>
  <c r="E53" i="1"/>
  <c r="E52" i="1"/>
  <c r="E51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1" i="1"/>
  <c r="E30" i="1"/>
  <c r="E29" i="1"/>
  <c r="E28" i="1"/>
  <c r="E27" i="1"/>
  <c r="E24" i="1"/>
  <c r="E23" i="1"/>
  <c r="E22" i="1"/>
  <c r="E21" i="1"/>
  <c r="E20" i="1"/>
  <c r="E19" i="1"/>
  <c r="E18" i="1"/>
  <c r="E15" i="1"/>
  <c r="E12" i="1"/>
  <c r="E11" i="1"/>
  <c r="E10" i="1"/>
  <c r="E9" i="1"/>
  <c r="E8" i="1"/>
  <c r="E7" i="1"/>
  <c r="E6" i="1"/>
  <c r="E3" i="1"/>
  <c r="E2" i="1"/>
  <c r="D192" i="1" l="1"/>
  <c r="D191" i="1"/>
  <c r="D190" i="1"/>
  <c r="D189" i="1"/>
  <c r="D188" i="1"/>
  <c r="D187" i="1"/>
  <c r="D186" i="1"/>
  <c r="D185" i="1"/>
  <c r="D182" i="1"/>
  <c r="D181" i="1"/>
  <c r="D180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7" i="1"/>
  <c r="D146" i="1"/>
  <c r="D145" i="1"/>
  <c r="D142" i="1"/>
  <c r="D141" i="1"/>
  <c r="D140" i="1"/>
  <c r="D139" i="1"/>
  <c r="D138" i="1"/>
  <c r="D135" i="1"/>
  <c r="D134" i="1"/>
  <c r="D133" i="1"/>
  <c r="D132" i="1"/>
  <c r="D131" i="1"/>
  <c r="D130" i="1"/>
  <c r="D127" i="1"/>
  <c r="D126" i="1"/>
  <c r="D125" i="1"/>
  <c r="D124" i="1"/>
  <c r="D123" i="1"/>
  <c r="D122" i="1"/>
  <c r="D119" i="1"/>
  <c r="D118" i="1"/>
  <c r="D117" i="1"/>
  <c r="D116" i="1"/>
  <c r="D113" i="1"/>
  <c r="D112" i="1"/>
  <c r="D111" i="1"/>
  <c r="D110" i="1"/>
  <c r="D107" i="1"/>
  <c r="D106" i="1"/>
  <c r="D105" i="1"/>
  <c r="D104" i="1"/>
  <c r="D103" i="1"/>
  <c r="D102" i="1"/>
  <c r="D101" i="1"/>
  <c r="D100" i="1"/>
  <c r="D99" i="1"/>
  <c r="D98" i="1"/>
  <c r="D97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5" i="1"/>
  <c r="D74" i="1"/>
  <c r="D73" i="1"/>
  <c r="D72" i="1"/>
  <c r="D71" i="1"/>
  <c r="D70" i="1"/>
  <c r="D69" i="1"/>
  <c r="D68" i="1"/>
  <c r="D67" i="1"/>
  <c r="D66" i="1"/>
  <c r="D65" i="1"/>
  <c r="D64" i="1"/>
  <c r="D61" i="1"/>
  <c r="D60" i="1"/>
  <c r="D59" i="1"/>
  <c r="D56" i="1"/>
  <c r="D55" i="1"/>
  <c r="D54" i="1"/>
  <c r="D53" i="1"/>
  <c r="D52" i="1"/>
  <c r="D51" i="1"/>
  <c r="D48" i="1"/>
  <c r="D47" i="1"/>
  <c r="D46" i="1"/>
  <c r="D45" i="1"/>
  <c r="D44" i="1"/>
  <c r="D43" i="1"/>
  <c r="D42" i="1"/>
  <c r="D41" i="1"/>
  <c r="D40" i="1"/>
  <c r="D37" i="1"/>
  <c r="D36" i="1"/>
  <c r="D35" i="1"/>
  <c r="D34" i="1"/>
  <c r="D31" i="1"/>
  <c r="D30" i="1"/>
  <c r="D29" i="1"/>
  <c r="D28" i="1"/>
  <c r="D27" i="1"/>
  <c r="D24" i="1"/>
  <c r="D23" i="1"/>
  <c r="D22" i="1"/>
  <c r="D21" i="1"/>
  <c r="D20" i="1"/>
  <c r="D19" i="1"/>
  <c r="D18" i="1"/>
  <c r="D15" i="1"/>
  <c r="D12" i="1"/>
  <c r="D11" i="1"/>
  <c r="D10" i="1"/>
  <c r="D9" i="1"/>
  <c r="D8" i="1"/>
  <c r="D7" i="1"/>
  <c r="D6" i="1"/>
  <c r="D3" i="1"/>
  <c r="D2" i="1"/>
  <c r="C192" i="1" l="1"/>
  <c r="C191" i="1"/>
  <c r="C190" i="1"/>
  <c r="C189" i="1"/>
  <c r="C188" i="1"/>
  <c r="C187" i="1"/>
  <c r="C186" i="1"/>
  <c r="C185" i="1"/>
  <c r="C182" i="1"/>
  <c r="C181" i="1"/>
  <c r="C180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7" i="1"/>
  <c r="C146" i="1"/>
  <c r="C145" i="1"/>
  <c r="C142" i="1"/>
  <c r="C141" i="1"/>
  <c r="C140" i="1"/>
  <c r="C139" i="1"/>
  <c r="C138" i="1"/>
  <c r="C135" i="1"/>
  <c r="C134" i="1"/>
  <c r="C133" i="1"/>
  <c r="C132" i="1"/>
  <c r="C131" i="1"/>
  <c r="C130" i="1"/>
  <c r="C127" i="1"/>
  <c r="C126" i="1"/>
  <c r="C125" i="1"/>
  <c r="C124" i="1"/>
  <c r="C123" i="1"/>
  <c r="C122" i="1"/>
  <c r="C119" i="1"/>
  <c r="C118" i="1"/>
  <c r="C117" i="1"/>
  <c r="C116" i="1"/>
  <c r="C113" i="1"/>
  <c r="C112" i="1"/>
  <c r="C111" i="1"/>
  <c r="C110" i="1"/>
  <c r="C107" i="1"/>
  <c r="C106" i="1"/>
  <c r="C105" i="1"/>
  <c r="C104" i="1"/>
  <c r="C103" i="1"/>
  <c r="C102" i="1"/>
  <c r="C101" i="1"/>
  <c r="C100" i="1"/>
  <c r="C99" i="1"/>
  <c r="C98" i="1"/>
  <c r="C97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5" i="1"/>
  <c r="C74" i="1"/>
  <c r="C73" i="1"/>
  <c r="C72" i="1"/>
  <c r="C71" i="1"/>
  <c r="C70" i="1"/>
  <c r="C69" i="1"/>
  <c r="C68" i="1"/>
  <c r="C67" i="1"/>
  <c r="C66" i="1"/>
  <c r="C65" i="1"/>
  <c r="C64" i="1"/>
  <c r="C59" i="1"/>
  <c r="C61" i="1"/>
  <c r="C60" i="1"/>
  <c r="C56" i="1"/>
  <c r="C55" i="1"/>
  <c r="C54" i="1"/>
  <c r="C53" i="1"/>
  <c r="C52" i="1"/>
  <c r="C51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1" i="1"/>
  <c r="C30" i="1"/>
  <c r="C29" i="1"/>
  <c r="C28" i="1"/>
  <c r="C27" i="1"/>
  <c r="C24" i="1"/>
  <c r="C23" i="1"/>
  <c r="C22" i="1"/>
  <c r="C21" i="1"/>
  <c r="C20" i="1"/>
  <c r="C19" i="1"/>
  <c r="C18" i="1"/>
  <c r="C9" i="1"/>
  <c r="C11" i="1"/>
  <c r="C12" i="1"/>
  <c r="C10" i="1"/>
  <c r="C8" i="1"/>
  <c r="C7" i="1"/>
  <c r="C6" i="1"/>
  <c r="C15" i="1"/>
  <c r="C3" i="1"/>
  <c r="C2" i="1"/>
  <c r="B191" i="1" l="1"/>
  <c r="B190" i="1"/>
  <c r="B189" i="1"/>
  <c r="B188" i="1"/>
  <c r="B187" i="1"/>
  <c r="B186" i="1"/>
  <c r="B185" i="1"/>
  <c r="B182" i="1" l="1"/>
  <c r="B181" i="1"/>
  <c r="B180" i="1"/>
  <c r="B177" i="1"/>
  <c r="B176" i="1"/>
  <c r="B175" i="1"/>
  <c r="B174" i="1"/>
  <c r="B173" i="1"/>
  <c r="B172" i="1"/>
  <c r="B171" i="1"/>
  <c r="B170" i="1"/>
  <c r="B169" i="1"/>
  <c r="B168" i="1"/>
  <c r="B167" i="1"/>
  <c r="B166" i="1"/>
</calcChain>
</file>

<file path=xl/sharedStrings.xml><?xml version="1.0" encoding="utf-8"?>
<sst xmlns="http://schemas.openxmlformats.org/spreadsheetml/2006/main" count="299" uniqueCount="179">
  <si>
    <t>FUB Blekinge län</t>
  </si>
  <si>
    <t>FUB Västra Blekinge</t>
  </si>
  <si>
    <t>FUB Östra Blekinge</t>
  </si>
  <si>
    <t>FUB Dalarnas län</t>
  </si>
  <si>
    <t>FUB Borlänge</t>
  </si>
  <si>
    <t>FUB Falun</t>
  </si>
  <si>
    <t>FUB Ludvika-Smedjebacken</t>
  </si>
  <si>
    <t>FUB Nedansiljan</t>
  </si>
  <si>
    <t>FUB Ovansiljan</t>
  </si>
  <si>
    <t>FUB Södra Dalarna</t>
  </si>
  <si>
    <t>FUB Västerdalarna</t>
  </si>
  <si>
    <t>FUB Gotlands län</t>
  </si>
  <si>
    <t>FUB Gotland</t>
  </si>
  <si>
    <t>FUB Gävleborgs län</t>
  </si>
  <si>
    <t>FUB Bollnäs-Söderhamn</t>
  </si>
  <si>
    <t>FUB Gävle</t>
  </si>
  <si>
    <t>FUB Hudiksvall-Nordanstig</t>
  </si>
  <si>
    <t>FUB Ljusdal</t>
  </si>
  <si>
    <t>FUB Ockelbo</t>
  </si>
  <si>
    <t>FUB Västra Gästrikland</t>
  </si>
  <si>
    <t>FUB Woxnadalen</t>
  </si>
  <si>
    <t>FUB Hallands län</t>
  </si>
  <si>
    <t>FUB Falkenberg</t>
  </si>
  <si>
    <t>FUB Halmstad</t>
  </si>
  <si>
    <t>FUB Kungsbacka</t>
  </si>
  <si>
    <t>FUB Laholm</t>
  </si>
  <si>
    <t>FUB Varberg</t>
  </si>
  <si>
    <t>FUB Jämtlands län</t>
  </si>
  <si>
    <t>FUB Berg</t>
  </si>
  <si>
    <t>FUB Strömsund</t>
  </si>
  <si>
    <t>FUB Åre</t>
  </si>
  <si>
    <t>FUB Östersund</t>
  </si>
  <si>
    <t>FUB Jönköpings län</t>
  </si>
  <si>
    <t>FUB Eksjö</t>
  </si>
  <si>
    <t>FUB Gislaved</t>
  </si>
  <si>
    <t>FUB Jönköping</t>
  </si>
  <si>
    <t>FUB Nässjö</t>
  </si>
  <si>
    <t>FUB Sävsjö</t>
  </si>
  <si>
    <t>FUB Tranås</t>
  </si>
  <si>
    <t>FUB Vaggeryd</t>
  </si>
  <si>
    <t>FUB Vetlanda</t>
  </si>
  <si>
    <t>FUB Värnamo</t>
  </si>
  <si>
    <t>FUB Kalmar län</t>
  </si>
  <si>
    <t>FUB Kalmarbygden</t>
  </si>
  <si>
    <t>FUB Nybro-Emmaboda</t>
  </si>
  <si>
    <t>FUB Oskarshamn</t>
  </si>
  <si>
    <t>FUB Torsås</t>
  </si>
  <si>
    <t>FUB Västervik-Tjust</t>
  </si>
  <si>
    <t>FUB Öland</t>
  </si>
  <si>
    <t>FUB Kronobergs län</t>
  </si>
  <si>
    <t>FUB Ljungby-Sunnerbo</t>
  </si>
  <si>
    <t>FUB Tingsryd</t>
  </si>
  <si>
    <t>FUB Växjö</t>
  </si>
  <si>
    <t>FUB Norrbottens län</t>
  </si>
  <si>
    <t>FUB Arvidsjaur</t>
  </si>
  <si>
    <t>FUB Boden</t>
  </si>
  <si>
    <t>FUB Gällivare-Malmberget</t>
  </si>
  <si>
    <t>FUB Jokkmokk</t>
  </si>
  <si>
    <t>FUB Kalix</t>
  </si>
  <si>
    <t>FUB Kiruna</t>
  </si>
  <si>
    <t>FUB Luleå</t>
  </si>
  <si>
    <t>FUB Pajala</t>
  </si>
  <si>
    <t>FUB Piteå</t>
  </si>
  <si>
    <t>FUB Älvsbyn</t>
  </si>
  <si>
    <t>FUB Överkalix</t>
  </si>
  <si>
    <t>FUB Övertorneå</t>
  </si>
  <si>
    <t>FUB Skåne län</t>
  </si>
  <si>
    <t>FUB Bromölla-Sölvesborg</t>
  </si>
  <si>
    <t>FUB Båstad</t>
  </si>
  <si>
    <t>FUB Helsingborg</t>
  </si>
  <si>
    <t>FUB Hässleholm</t>
  </si>
  <si>
    <t>FUB Klippan-Åstorp</t>
  </si>
  <si>
    <t>FUB Kristianstad</t>
  </si>
  <si>
    <t>FUB Lund</t>
  </si>
  <si>
    <t>FUB Malmö</t>
  </si>
  <si>
    <t>FUB Mellanskåne</t>
  </si>
  <si>
    <t>FUB Osby</t>
  </si>
  <si>
    <t>FUB Perstorp</t>
  </si>
  <si>
    <t>FUB Svedala</t>
  </si>
  <si>
    <t>FUB Trelleborg</t>
  </si>
  <si>
    <t>FUB Vellinge</t>
  </si>
  <si>
    <t>FUB Ängelholm</t>
  </si>
  <si>
    <t>FUB Örkelljunga</t>
  </si>
  <si>
    <t>FUB Östra Göinge</t>
  </si>
  <si>
    <t>FUB Stockholms län</t>
  </si>
  <si>
    <t>FUB Botkyrka-Salem</t>
  </si>
  <si>
    <t>FUB Huddinge</t>
  </si>
  <si>
    <t>FUB Järfälla-Upplands-Bro</t>
  </si>
  <si>
    <t>FUB Lidingö</t>
  </si>
  <si>
    <t>FUB Nacka-Värmdö</t>
  </si>
  <si>
    <t>FUB Norrtälje</t>
  </si>
  <si>
    <t>FUB Sigtuna</t>
  </si>
  <si>
    <t>FUB Sollentuna-Väsby</t>
  </si>
  <si>
    <t>FUB Stockholm</t>
  </si>
  <si>
    <t>FUB Södertälje-Nykvarn</t>
  </si>
  <si>
    <t>FUB Södra Roslagen</t>
  </si>
  <si>
    <t>FUB Södermanlands län</t>
  </si>
  <si>
    <t>FUB Eskilstuna</t>
  </si>
  <si>
    <t>FUB Katrineholm-Flen-Vingåker</t>
  </si>
  <si>
    <t>FUB Strängnäs</t>
  </si>
  <si>
    <t>FUB Södra Sörmland</t>
  </si>
  <si>
    <t>FUB Uppsala län</t>
  </si>
  <si>
    <t>FUB Enköping</t>
  </si>
  <si>
    <t>FUB Norduppland</t>
  </si>
  <si>
    <t>FUB Uppsala-Knivsta</t>
  </si>
  <si>
    <t>FUB Östhammar</t>
  </si>
  <si>
    <t>FUB Värmlands län</t>
  </si>
  <si>
    <t>FUB Filipstad-Storfors</t>
  </si>
  <si>
    <t>FUB Grums</t>
  </si>
  <si>
    <t>FUB Karlstad med omnejd</t>
  </si>
  <si>
    <t>FUB Sunne-Torsby</t>
  </si>
  <si>
    <t>FUB Säffle</t>
  </si>
  <si>
    <t>FUB Västra Värmland</t>
  </si>
  <si>
    <t>FUB Västerbottens län</t>
  </si>
  <si>
    <t>FUB Lycksele</t>
  </si>
  <si>
    <t>FUB Robertsfors</t>
  </si>
  <si>
    <t>FUB Skellefteå</t>
  </si>
  <si>
    <t>FUB Umeå</t>
  </si>
  <si>
    <t>FUB Vilhelmina</t>
  </si>
  <si>
    <t>FUB Vindeln</t>
  </si>
  <si>
    <t>FUB Västernorrlands län</t>
  </si>
  <si>
    <t>FUB Härnösand</t>
  </si>
  <si>
    <t>FUB Kramfors</t>
  </si>
  <si>
    <t>FUB Sollefteå</t>
  </si>
  <si>
    <t>FUB Sundsvall-Timrå</t>
  </si>
  <si>
    <t>FUB Örnsköldsvik</t>
  </si>
  <si>
    <t>FUB Västmanland</t>
  </si>
  <si>
    <t>FUB Köping-Arboga-Kungsör</t>
  </si>
  <si>
    <t>FUB Sala-Heby</t>
  </si>
  <si>
    <t>FUB Västerås</t>
  </si>
  <si>
    <t>FUB Västra Götalands län</t>
  </si>
  <si>
    <t>FUB Ale</t>
  </si>
  <si>
    <t>FUB Alingsås-Vårgårda-Herrljunga</t>
  </si>
  <si>
    <t>FUB Borås</t>
  </si>
  <si>
    <t>FUB Falköping</t>
  </si>
  <si>
    <t>FUB Grästorp</t>
  </si>
  <si>
    <t>FUB Göteborg</t>
  </si>
  <si>
    <t>FUB Hjo-Tibro-Karlsborg</t>
  </si>
  <si>
    <t>FUB Härryda</t>
  </si>
  <si>
    <t>FUB Kungälv</t>
  </si>
  <si>
    <t>FUB Lerum</t>
  </si>
  <si>
    <t>FUB Lidköping</t>
  </si>
  <si>
    <t>FUB Lysekil</t>
  </si>
  <si>
    <t>FUB Mariestad</t>
  </si>
  <si>
    <t>FUB Mark</t>
  </si>
  <si>
    <t>FUB Mölndal</t>
  </si>
  <si>
    <t>FUB Orust</t>
  </si>
  <si>
    <t>FUB Partille</t>
  </si>
  <si>
    <t>FUB Skara-Götene</t>
  </si>
  <si>
    <t>FUB Skövde</t>
  </si>
  <si>
    <t>FUB Stenungsund</t>
  </si>
  <si>
    <t>FUB Tanum</t>
  </si>
  <si>
    <t>FUB Trollhättan</t>
  </si>
  <si>
    <t>FUB Töreboda</t>
  </si>
  <si>
    <t>FUB Uddevalla</t>
  </si>
  <si>
    <t>FUB Ulricehamn</t>
  </si>
  <si>
    <t>FUB Vara</t>
  </si>
  <si>
    <t>FUB Vänersborg-Södra Dal</t>
  </si>
  <si>
    <t>FUB Öckerö</t>
  </si>
  <si>
    <t>FUB Örebro län</t>
  </si>
  <si>
    <t>FUB Karlskoga-Degerfors</t>
  </si>
  <si>
    <t>FUB Sydnärke-Hallsberg</t>
  </si>
  <si>
    <t>FUB Örebro</t>
  </si>
  <si>
    <t>FUB Östergötlands län</t>
  </si>
  <si>
    <t>FUB Finspång</t>
  </si>
  <si>
    <t>FUB Kinda-Ydre</t>
  </si>
  <si>
    <t>FUB Linköping</t>
  </si>
  <si>
    <t>FUB Mjölby</t>
  </si>
  <si>
    <t>FUB Motala</t>
  </si>
  <si>
    <t>FUB Norrköping</t>
  </si>
  <si>
    <t>FUB Söderköping</t>
  </si>
  <si>
    <t>FUB Valdemarsvik</t>
  </si>
  <si>
    <t>Medlemmar 2022</t>
  </si>
  <si>
    <t>Medlemmar 2018</t>
  </si>
  <si>
    <t>Medlemmar 2019</t>
  </si>
  <si>
    <t>Medlemmar 2020</t>
  </si>
  <si>
    <t>Medlemmar 2021</t>
  </si>
  <si>
    <t>Medlemmar 2023*</t>
  </si>
  <si>
    <t>* Medlemmar i medlemssystemet        2023-10-24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</si>
</sst>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Normal="100" workbookViewId="0">
      <selection activeCell="A195" sqref="A195"/>
    </sheetView>
  </sheetViews>
  <sheetFormatPr baseColWidth="10" defaultColWidth="8.83203125" defaultRowHeight="15" x14ac:dyDescent="0.2"/>
  <cols>
    <col min="1" max="1" width="33.5" bestFit="1" customWidth="1"/>
    <col min="2" max="7" width="18.1640625" bestFit="1" customWidth="1"/>
    <col min="8" max="8" width="9.1640625" customWidth="1"/>
    <col min="12" max="12" width="14" bestFit="1" customWidth="1"/>
  </cols>
  <sheetData>
    <row r="1" spans="1:21" x14ac:dyDescent="0.2">
      <c r="A1" s="3" t="s">
        <v>0</v>
      </c>
      <c r="B1" s="4" t="s">
        <v>173</v>
      </c>
      <c r="C1" s="4" t="s">
        <v>174</v>
      </c>
      <c r="D1" s="4" t="s">
        <v>175</v>
      </c>
      <c r="E1" s="4" t="s">
        <v>176</v>
      </c>
      <c r="F1" s="4" t="s">
        <v>172</v>
      </c>
      <c r="G1" s="4" t="s">
        <v>177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5" t="s">
        <v>1</v>
      </c>
      <c r="B2" s="5">
        <v>126</v>
      </c>
      <c r="C2" s="5">
        <f>107+27</f>
        <v>134</v>
      </c>
      <c r="D2" s="5">
        <f>100+26</f>
        <v>126</v>
      </c>
      <c r="E2" s="5">
        <f>93+24</f>
        <v>117</v>
      </c>
      <c r="F2" s="5">
        <f>83+19</f>
        <v>102</v>
      </c>
      <c r="G2" s="5">
        <v>101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5" t="s">
        <v>2</v>
      </c>
      <c r="B3" s="5">
        <v>173</v>
      </c>
      <c r="C3" s="5">
        <f>126+63</f>
        <v>189</v>
      </c>
      <c r="D3" s="5">
        <f>129+73</f>
        <v>202</v>
      </c>
      <c r="E3" s="5">
        <f>127+69</f>
        <v>196</v>
      </c>
      <c r="F3" s="5">
        <f>128+58</f>
        <v>186</v>
      </c>
      <c r="G3" s="6">
        <v>186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3" t="s">
        <v>3</v>
      </c>
      <c r="B5" s="4" t="s">
        <v>173</v>
      </c>
      <c r="C5" s="4" t="s">
        <v>174</v>
      </c>
      <c r="D5" s="4" t="s">
        <v>175</v>
      </c>
      <c r="E5" s="4" t="s">
        <v>176</v>
      </c>
      <c r="F5" s="4" t="s">
        <v>172</v>
      </c>
      <c r="G5" s="4" t="s">
        <v>177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5" t="s">
        <v>4</v>
      </c>
      <c r="B6" s="5">
        <v>276</v>
      </c>
      <c r="C6" s="6">
        <f>233+66</f>
        <v>299</v>
      </c>
      <c r="D6" s="6">
        <f>232+75</f>
        <v>307</v>
      </c>
      <c r="E6" s="5">
        <f>227+74</f>
        <v>301</v>
      </c>
      <c r="F6" s="5">
        <f>224+76</f>
        <v>300</v>
      </c>
      <c r="G6" s="5">
        <v>309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5" t="s">
        <v>5</v>
      </c>
      <c r="B7" s="7">
        <v>164</v>
      </c>
      <c r="C7" s="10">
        <f>145+37</f>
        <v>182</v>
      </c>
      <c r="D7" s="10">
        <f>140+36</f>
        <v>176</v>
      </c>
      <c r="E7" s="7">
        <f>143+40</f>
        <v>183</v>
      </c>
      <c r="F7" s="7">
        <f>133+55</f>
        <v>188</v>
      </c>
      <c r="G7" s="5">
        <v>175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5" t="s">
        <v>6</v>
      </c>
      <c r="B8" s="5">
        <v>103</v>
      </c>
      <c r="C8" s="5">
        <f>102+24</f>
        <v>126</v>
      </c>
      <c r="D8" s="5">
        <f>95+24</f>
        <v>119</v>
      </c>
      <c r="E8" s="5">
        <f>88+24</f>
        <v>112</v>
      </c>
      <c r="F8" s="5">
        <f>96+25</f>
        <v>121</v>
      </c>
      <c r="G8" s="5">
        <v>126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5" t="s">
        <v>7</v>
      </c>
      <c r="B9" s="5">
        <v>82</v>
      </c>
      <c r="C9" s="7">
        <f>66+14+13+9</f>
        <v>102</v>
      </c>
      <c r="D9" s="9">
        <f>74+20</f>
        <v>94</v>
      </c>
      <c r="E9" s="7">
        <f>75+20</f>
        <v>95</v>
      </c>
      <c r="F9" s="7">
        <f>64+19</f>
        <v>83</v>
      </c>
      <c r="G9" s="5">
        <v>81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x14ac:dyDescent="0.2">
      <c r="A10" s="5" t="s">
        <v>8</v>
      </c>
      <c r="B10" s="5">
        <v>64</v>
      </c>
      <c r="C10" s="7">
        <f>73+12</f>
        <v>85</v>
      </c>
      <c r="D10" s="7">
        <f>71+12</f>
        <v>83</v>
      </c>
      <c r="E10" s="7">
        <f>70+16</f>
        <v>86</v>
      </c>
      <c r="F10" s="7">
        <f>67+13</f>
        <v>80</v>
      </c>
      <c r="G10" s="5">
        <v>83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5" t="s">
        <v>9</v>
      </c>
      <c r="B11" s="5">
        <v>131</v>
      </c>
      <c r="C11" s="5">
        <f>49+75+14+8</f>
        <v>146</v>
      </c>
      <c r="D11" s="5">
        <f>47+72+14+14</f>
        <v>147</v>
      </c>
      <c r="E11" s="5">
        <f>112+26</f>
        <v>138</v>
      </c>
      <c r="F11" s="5">
        <f>105+22</f>
        <v>127</v>
      </c>
      <c r="G11" s="5">
        <v>141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x14ac:dyDescent="0.2">
      <c r="A12" s="5" t="s">
        <v>10</v>
      </c>
      <c r="B12" s="5">
        <v>101</v>
      </c>
      <c r="C12" s="5">
        <f>83+44</f>
        <v>127</v>
      </c>
      <c r="D12" s="5">
        <f>79+47</f>
        <v>126</v>
      </c>
      <c r="E12" s="5">
        <f>76+55</f>
        <v>131</v>
      </c>
      <c r="F12" s="5">
        <f>77+58</f>
        <v>135</v>
      </c>
      <c r="G12" s="5">
        <v>147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3" t="s">
        <v>11</v>
      </c>
      <c r="B14" s="4" t="s">
        <v>173</v>
      </c>
      <c r="C14" s="4" t="s">
        <v>174</v>
      </c>
      <c r="D14" s="4" t="s">
        <v>175</v>
      </c>
      <c r="E14" s="4" t="s">
        <v>176</v>
      </c>
      <c r="F14" s="4" t="s">
        <v>172</v>
      </c>
      <c r="G14" s="4" t="s">
        <v>177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x14ac:dyDescent="0.2">
      <c r="A15" s="2" t="s">
        <v>12</v>
      </c>
      <c r="B15" s="5">
        <v>225</v>
      </c>
      <c r="C15" s="5">
        <f>219+45</f>
        <v>264</v>
      </c>
      <c r="D15" s="5">
        <f>207+43</f>
        <v>250</v>
      </c>
      <c r="E15" s="5">
        <f>212+51</f>
        <v>263</v>
      </c>
      <c r="F15" s="5">
        <f>209+47</f>
        <v>256</v>
      </c>
      <c r="G15" s="5">
        <v>270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x14ac:dyDescent="0.2">
      <c r="A17" s="3" t="s">
        <v>13</v>
      </c>
      <c r="B17" s="4" t="s">
        <v>173</v>
      </c>
      <c r="C17" s="4" t="s">
        <v>174</v>
      </c>
      <c r="D17" s="4" t="s">
        <v>175</v>
      </c>
      <c r="E17" s="4" t="s">
        <v>176</v>
      </c>
      <c r="F17" s="4" t="s">
        <v>172</v>
      </c>
      <c r="G17" s="4" t="s">
        <v>177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">
      <c r="A18" s="5" t="s">
        <v>14</v>
      </c>
      <c r="B18" s="7">
        <v>270</v>
      </c>
      <c r="C18" s="7">
        <f>254+53</f>
        <v>307</v>
      </c>
      <c r="D18" s="7">
        <f>239+53</f>
        <v>292</v>
      </c>
      <c r="E18" s="7">
        <f>225+54</f>
        <v>279</v>
      </c>
      <c r="F18" s="7">
        <f>234+57</f>
        <v>291</v>
      </c>
      <c r="G18" s="5">
        <v>323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">
      <c r="A19" s="5" t="s">
        <v>15</v>
      </c>
      <c r="B19" s="8">
        <v>242</v>
      </c>
      <c r="C19" s="8">
        <f>228+50</f>
        <v>278</v>
      </c>
      <c r="D19" s="8">
        <f>227+55</f>
        <v>282</v>
      </c>
      <c r="E19" s="5">
        <f>227+57</f>
        <v>284</v>
      </c>
      <c r="F19" s="5">
        <f>213+56</f>
        <v>269</v>
      </c>
      <c r="G19" s="5">
        <v>337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">
      <c r="A20" s="5" t="s">
        <v>16</v>
      </c>
      <c r="B20" s="5">
        <v>133</v>
      </c>
      <c r="C20" s="5">
        <f>113+27</f>
        <v>140</v>
      </c>
      <c r="D20" s="5">
        <f>107+27</f>
        <v>134</v>
      </c>
      <c r="E20" s="5">
        <f>102+25</f>
        <v>127</v>
      </c>
      <c r="F20" s="5">
        <f>92+30</f>
        <v>122</v>
      </c>
      <c r="G20" s="5">
        <v>168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">
      <c r="A21" s="5" t="s">
        <v>17</v>
      </c>
      <c r="B21" s="9">
        <v>69</v>
      </c>
      <c r="C21" s="9">
        <f>80+9</f>
        <v>89</v>
      </c>
      <c r="D21" s="9">
        <f>69+9</f>
        <v>78</v>
      </c>
      <c r="E21" s="7">
        <f>63+9</f>
        <v>72</v>
      </c>
      <c r="F21" s="7">
        <f>62+7</f>
        <v>69</v>
      </c>
      <c r="G21" s="5">
        <v>83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">
      <c r="A22" s="5" t="s">
        <v>18</v>
      </c>
      <c r="B22" s="5">
        <v>35</v>
      </c>
      <c r="C22" s="5">
        <f>21+10</f>
        <v>31</v>
      </c>
      <c r="D22" s="5">
        <f>17+9</f>
        <v>26</v>
      </c>
      <c r="E22" s="5">
        <f>17+8</f>
        <v>25</v>
      </c>
      <c r="F22" s="5">
        <f>17+8</f>
        <v>25</v>
      </c>
      <c r="G22" s="5">
        <v>26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">
      <c r="A23" s="5" t="s">
        <v>19</v>
      </c>
      <c r="B23" s="5">
        <v>104</v>
      </c>
      <c r="C23" s="7">
        <f>89+18</f>
        <v>107</v>
      </c>
      <c r="D23" s="7">
        <f>83+18</f>
        <v>101</v>
      </c>
      <c r="E23" s="7">
        <f>84+18</f>
        <v>102</v>
      </c>
      <c r="F23" s="7">
        <f>81+16</f>
        <v>97</v>
      </c>
      <c r="G23" s="5">
        <v>114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">
      <c r="A24" s="5" t="s">
        <v>20</v>
      </c>
      <c r="B24" s="7">
        <v>116</v>
      </c>
      <c r="C24" s="5">
        <f>86+38</f>
        <v>124</v>
      </c>
      <c r="D24" s="5">
        <f>91+39</f>
        <v>130</v>
      </c>
      <c r="E24" s="5">
        <f>87+38</f>
        <v>125</v>
      </c>
      <c r="F24" s="5">
        <f>90+35</f>
        <v>125</v>
      </c>
      <c r="G24" s="5">
        <v>106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">
      <c r="A26" s="4" t="s">
        <v>21</v>
      </c>
      <c r="B26" s="4" t="s">
        <v>173</v>
      </c>
      <c r="C26" s="4" t="s">
        <v>174</v>
      </c>
      <c r="D26" s="4" t="s">
        <v>175</v>
      </c>
      <c r="E26" s="4" t="s">
        <v>176</v>
      </c>
      <c r="F26" s="4" t="s">
        <v>172</v>
      </c>
      <c r="G26" s="4" t="s">
        <v>177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">
      <c r="A27" s="5" t="s">
        <v>22</v>
      </c>
      <c r="B27" s="7">
        <v>266</v>
      </c>
      <c r="C27" s="7">
        <f>242+50</f>
        <v>292</v>
      </c>
      <c r="D27" s="7">
        <f>231+65</f>
        <v>296</v>
      </c>
      <c r="E27" s="7">
        <f>223+67</f>
        <v>290</v>
      </c>
      <c r="F27" s="7">
        <f>210+78</f>
        <v>288</v>
      </c>
      <c r="G27" s="5">
        <v>316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">
      <c r="A28" s="5" t="s">
        <v>23</v>
      </c>
      <c r="B28" s="7">
        <v>156</v>
      </c>
      <c r="C28" s="7">
        <f>130+39</f>
        <v>169</v>
      </c>
      <c r="D28" s="7">
        <f>130+41</f>
        <v>171</v>
      </c>
      <c r="E28" s="7">
        <f>130+46</f>
        <v>176</v>
      </c>
      <c r="F28" s="7">
        <f>135+47</f>
        <v>182</v>
      </c>
      <c r="G28" s="5">
        <v>198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">
      <c r="A29" s="5" t="s">
        <v>24</v>
      </c>
      <c r="B29" s="7">
        <v>172</v>
      </c>
      <c r="C29" s="7">
        <f>148+36</f>
        <v>184</v>
      </c>
      <c r="D29" s="7">
        <f>145+40</f>
        <v>185</v>
      </c>
      <c r="E29" s="7">
        <f>150+53</f>
        <v>203</v>
      </c>
      <c r="F29" s="7">
        <f>169+60</f>
        <v>229</v>
      </c>
      <c r="G29" s="5">
        <v>243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">
      <c r="A30" s="5" t="s">
        <v>25</v>
      </c>
      <c r="B30" s="5">
        <v>128</v>
      </c>
      <c r="C30" s="5">
        <f>108+44</f>
        <v>152</v>
      </c>
      <c r="D30" s="5">
        <f>105+40</f>
        <v>145</v>
      </c>
      <c r="E30" s="5">
        <f>98+39</f>
        <v>137</v>
      </c>
      <c r="F30" s="5">
        <f>105+49</f>
        <v>154</v>
      </c>
      <c r="G30" s="5">
        <v>172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">
      <c r="A31" s="5" t="s">
        <v>26</v>
      </c>
      <c r="B31" s="7">
        <v>178</v>
      </c>
      <c r="C31" s="7">
        <f>142+61</f>
        <v>203</v>
      </c>
      <c r="D31" s="7">
        <f>133+57</f>
        <v>190</v>
      </c>
      <c r="E31" s="7">
        <f>131+53</f>
        <v>184</v>
      </c>
      <c r="F31" s="7">
        <f>128+51</f>
        <v>179</v>
      </c>
      <c r="G31" s="5">
        <v>173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3" t="s">
        <v>27</v>
      </c>
      <c r="B33" s="4" t="s">
        <v>173</v>
      </c>
      <c r="C33" s="4" t="s">
        <v>174</v>
      </c>
      <c r="D33" s="4" t="s">
        <v>175</v>
      </c>
      <c r="E33" s="4" t="s">
        <v>176</v>
      </c>
      <c r="F33" s="4" t="s">
        <v>172</v>
      </c>
      <c r="G33" s="4" t="s">
        <v>177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5" t="s">
        <v>28</v>
      </c>
      <c r="B34" s="8">
        <v>45</v>
      </c>
      <c r="C34" s="8">
        <f>45+17</f>
        <v>62</v>
      </c>
      <c r="D34" s="8">
        <f>44+20</f>
        <v>64</v>
      </c>
      <c r="E34" s="5">
        <f>41+19</f>
        <v>60</v>
      </c>
      <c r="F34" s="5">
        <f>33+13</f>
        <v>46</v>
      </c>
      <c r="G34" s="5">
        <v>35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5" t="s">
        <v>29</v>
      </c>
      <c r="B35" s="5">
        <v>49</v>
      </c>
      <c r="C35" s="5">
        <f>43+5</f>
        <v>48</v>
      </c>
      <c r="D35" s="5">
        <f>38+5</f>
        <v>43</v>
      </c>
      <c r="E35" s="5">
        <f>35+6</f>
        <v>41</v>
      </c>
      <c r="F35" s="5">
        <f>31+6</f>
        <v>37</v>
      </c>
      <c r="G35" s="5">
        <v>32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5" t="s">
        <v>30</v>
      </c>
      <c r="B36" s="6">
        <v>39</v>
      </c>
      <c r="C36" s="6">
        <f>41+2</f>
        <v>43</v>
      </c>
      <c r="D36" s="6">
        <f>42+2</f>
        <v>44</v>
      </c>
      <c r="E36" s="5">
        <f>41+2</f>
        <v>43</v>
      </c>
      <c r="F36" s="5">
        <f>37+2</f>
        <v>39</v>
      </c>
      <c r="G36" s="5">
        <v>35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5" t="s">
        <v>31</v>
      </c>
      <c r="B37" s="5">
        <v>140</v>
      </c>
      <c r="C37" s="5">
        <f>101+49</f>
        <v>150</v>
      </c>
      <c r="D37" s="5">
        <f>95+50</f>
        <v>145</v>
      </c>
      <c r="E37" s="5">
        <f>89+47</f>
        <v>136</v>
      </c>
      <c r="F37" s="5">
        <f>87+48</f>
        <v>135</v>
      </c>
      <c r="G37" s="5">
        <v>137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3" t="s">
        <v>32</v>
      </c>
      <c r="B39" s="4" t="s">
        <v>173</v>
      </c>
      <c r="C39" s="4" t="s">
        <v>174</v>
      </c>
      <c r="D39" s="4" t="s">
        <v>175</v>
      </c>
      <c r="E39" s="4" t="s">
        <v>176</v>
      </c>
      <c r="F39" s="4" t="s">
        <v>172</v>
      </c>
      <c r="G39" s="4" t="s">
        <v>177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5" t="s">
        <v>33</v>
      </c>
      <c r="B40" s="5">
        <v>84</v>
      </c>
      <c r="C40" s="5">
        <f>81+22</f>
        <v>103</v>
      </c>
      <c r="D40" s="5">
        <f>84+25</f>
        <v>109</v>
      </c>
      <c r="E40" s="5">
        <f>81+24</f>
        <v>105</v>
      </c>
      <c r="F40" s="5">
        <f>77+24</f>
        <v>101</v>
      </c>
      <c r="G40" s="5">
        <v>104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5" t="s">
        <v>34</v>
      </c>
      <c r="B41" s="10">
        <v>73</v>
      </c>
      <c r="C41" s="10">
        <f>71+2</f>
        <v>73</v>
      </c>
      <c r="D41" s="10">
        <f>66+2</f>
        <v>68</v>
      </c>
      <c r="E41" s="7">
        <f>69+3</f>
        <v>72</v>
      </c>
      <c r="F41" s="7">
        <f>64+2</f>
        <v>66</v>
      </c>
      <c r="G41" s="5">
        <v>64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5" t="s">
        <v>35</v>
      </c>
      <c r="B42" s="5">
        <v>500</v>
      </c>
      <c r="C42" s="5">
        <f>430+89</f>
        <v>519</v>
      </c>
      <c r="D42" s="5">
        <f>425+95</f>
        <v>520</v>
      </c>
      <c r="E42" s="5">
        <f>404+91</f>
        <v>495</v>
      </c>
      <c r="F42" s="5">
        <f>409+93</f>
        <v>502</v>
      </c>
      <c r="G42" s="5">
        <v>505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5" t="s">
        <v>36</v>
      </c>
      <c r="B43" s="9">
        <v>116</v>
      </c>
      <c r="C43" s="9">
        <f>117+13</f>
        <v>130</v>
      </c>
      <c r="D43" s="9">
        <f>131+3</f>
        <v>134</v>
      </c>
      <c r="E43" s="7">
        <f>126+4</f>
        <v>130</v>
      </c>
      <c r="F43" s="7">
        <f>128+6</f>
        <v>134</v>
      </c>
      <c r="G43" s="5">
        <v>141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5" t="s">
        <v>37</v>
      </c>
      <c r="B44" s="7">
        <v>39</v>
      </c>
      <c r="C44" s="7">
        <f>43+10</f>
        <v>53</v>
      </c>
      <c r="D44" s="7">
        <f>41+9</f>
        <v>50</v>
      </c>
      <c r="E44" s="7">
        <f>38+9</f>
        <v>47</v>
      </c>
      <c r="F44" s="7">
        <f>36+10</f>
        <v>46</v>
      </c>
      <c r="G44" s="5">
        <v>46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0" x14ac:dyDescent="0.2">
      <c r="A45" s="5" t="s">
        <v>38</v>
      </c>
      <c r="B45" s="10">
        <v>140</v>
      </c>
      <c r="C45" s="10">
        <f>102+34</f>
        <v>136</v>
      </c>
      <c r="D45" s="10">
        <f>90+28</f>
        <v>118</v>
      </c>
      <c r="E45" s="7">
        <f>89+27</f>
        <v>116</v>
      </c>
      <c r="F45" s="7">
        <f>92+30</f>
        <v>122</v>
      </c>
      <c r="G45" s="5">
        <v>130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5" t="s">
        <v>39</v>
      </c>
      <c r="B46" s="5">
        <v>66</v>
      </c>
      <c r="C46" s="5">
        <f>62+7</f>
        <v>69</v>
      </c>
      <c r="D46" s="5">
        <f>56+7</f>
        <v>63</v>
      </c>
      <c r="E46" s="5">
        <f>57+8</f>
        <v>65</v>
      </c>
      <c r="F46" s="5">
        <f>62+11</f>
        <v>73</v>
      </c>
      <c r="G46" s="5">
        <v>87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5" t="s">
        <v>40</v>
      </c>
      <c r="B47" s="6">
        <v>118</v>
      </c>
      <c r="C47" s="6">
        <f>104+26</f>
        <v>130</v>
      </c>
      <c r="D47" s="6">
        <f>97+24</f>
        <v>121</v>
      </c>
      <c r="E47" s="5">
        <f>92+22</f>
        <v>114</v>
      </c>
      <c r="F47" s="5">
        <f>103+32</f>
        <v>135</v>
      </c>
      <c r="G47" s="5">
        <v>137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5" t="s">
        <v>41</v>
      </c>
      <c r="B48" s="7">
        <v>113</v>
      </c>
      <c r="C48" s="7">
        <f>124+24</f>
        <v>148</v>
      </c>
      <c r="D48" s="7">
        <f>126+20</f>
        <v>146</v>
      </c>
      <c r="E48" s="7">
        <f>120+20</f>
        <v>140</v>
      </c>
      <c r="F48" s="7">
        <f>117+17</f>
        <v>134</v>
      </c>
      <c r="G48" s="5">
        <v>133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3" t="s">
        <v>42</v>
      </c>
      <c r="B50" s="4" t="s">
        <v>173</v>
      </c>
      <c r="C50" s="4" t="s">
        <v>174</v>
      </c>
      <c r="D50" s="4" t="s">
        <v>175</v>
      </c>
      <c r="E50" s="4" t="s">
        <v>176</v>
      </c>
      <c r="F50" s="4" t="s">
        <v>172</v>
      </c>
      <c r="G50" s="4" t="s">
        <v>177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5" t="s">
        <v>43</v>
      </c>
      <c r="B51" s="7">
        <v>172</v>
      </c>
      <c r="C51" s="7">
        <f>153+32</f>
        <v>185</v>
      </c>
      <c r="D51" s="7">
        <f>154+38</f>
        <v>192</v>
      </c>
      <c r="E51" s="7">
        <f>146+40</f>
        <v>186</v>
      </c>
      <c r="F51" s="7">
        <f>216+42</f>
        <v>258</v>
      </c>
      <c r="G51" s="5">
        <v>238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5" t="s">
        <v>44</v>
      </c>
      <c r="B52" s="5">
        <v>123</v>
      </c>
      <c r="C52" s="5">
        <f>114+23</f>
        <v>137</v>
      </c>
      <c r="D52" s="5">
        <f>111+23</f>
        <v>134</v>
      </c>
      <c r="E52" s="5">
        <f>106+20</f>
        <v>126</v>
      </c>
      <c r="F52" s="5">
        <f>99+19</f>
        <v>118</v>
      </c>
      <c r="G52" s="5">
        <v>113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5" t="s">
        <v>45</v>
      </c>
      <c r="B53" s="8">
        <v>69</v>
      </c>
      <c r="C53" s="8">
        <f>69+6</f>
        <v>75</v>
      </c>
      <c r="D53" s="8">
        <f>65+8</f>
        <v>73</v>
      </c>
      <c r="E53" s="5">
        <f>62+9</f>
        <v>71</v>
      </c>
      <c r="F53" s="5">
        <f>59+12</f>
        <v>71</v>
      </c>
      <c r="G53" s="5">
        <v>81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5" t="s">
        <v>46</v>
      </c>
      <c r="B54" s="5">
        <v>75</v>
      </c>
      <c r="C54" s="5">
        <f>34+43</f>
        <v>77</v>
      </c>
      <c r="D54" s="5">
        <f>34+36</f>
        <v>70</v>
      </c>
      <c r="E54" s="5">
        <f>33+28</f>
        <v>61</v>
      </c>
      <c r="F54" s="5">
        <f>33+32</f>
        <v>65</v>
      </c>
      <c r="G54" s="5">
        <v>73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5" t="s">
        <v>47</v>
      </c>
      <c r="B55" s="10">
        <v>213</v>
      </c>
      <c r="C55" s="10">
        <f>168+43</f>
        <v>211</v>
      </c>
      <c r="D55" s="10">
        <f>158+40</f>
        <v>198</v>
      </c>
      <c r="E55" s="7">
        <f>151+38</f>
        <v>189</v>
      </c>
      <c r="F55" s="7">
        <f>146+38</f>
        <v>184</v>
      </c>
      <c r="G55" s="5">
        <v>182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5" t="s">
        <v>48</v>
      </c>
      <c r="B56" s="5">
        <v>60</v>
      </c>
      <c r="C56" s="5">
        <f>62+8</f>
        <v>70</v>
      </c>
      <c r="D56" s="5">
        <f>57+5</f>
        <v>62</v>
      </c>
      <c r="E56" s="5">
        <f>53+5</f>
        <v>58</v>
      </c>
      <c r="F56" s="5">
        <f>49+6</f>
        <v>55</v>
      </c>
      <c r="G56" s="5">
        <v>61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4" t="s">
        <v>49</v>
      </c>
      <c r="B58" s="4" t="s">
        <v>173</v>
      </c>
      <c r="C58" s="4" t="s">
        <v>174</v>
      </c>
      <c r="D58" s="4" t="s">
        <v>175</v>
      </c>
      <c r="E58" s="4" t="s">
        <v>176</v>
      </c>
      <c r="F58" s="4" t="s">
        <v>172</v>
      </c>
      <c r="G58" s="4" t="s">
        <v>177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5" t="s">
        <v>50</v>
      </c>
      <c r="B59" s="10">
        <v>120</v>
      </c>
      <c r="C59" s="10">
        <f>120+22</f>
        <v>142</v>
      </c>
      <c r="D59" s="10">
        <f>115+19</f>
        <v>134</v>
      </c>
      <c r="E59" s="7">
        <f>110+20</f>
        <v>130</v>
      </c>
      <c r="F59" s="7">
        <f>113+21</f>
        <v>134</v>
      </c>
      <c r="G59" s="5">
        <v>140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x14ac:dyDescent="0.2">
      <c r="A60" s="5" t="s">
        <v>51</v>
      </c>
      <c r="B60" s="5">
        <v>39</v>
      </c>
      <c r="C60" s="5">
        <f>36+7</f>
        <v>43</v>
      </c>
      <c r="D60" s="5">
        <f>33+7</f>
        <v>40</v>
      </c>
      <c r="E60" s="5">
        <f>31+7</f>
        <v>38</v>
      </c>
      <c r="F60" s="5">
        <f>30+5</f>
        <v>35</v>
      </c>
      <c r="G60" s="5">
        <v>35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5" t="s">
        <v>52</v>
      </c>
      <c r="B61" s="9">
        <v>242</v>
      </c>
      <c r="C61" s="9">
        <f>225+41</f>
        <v>266</v>
      </c>
      <c r="D61" s="9">
        <f>222+42</f>
        <v>264</v>
      </c>
      <c r="E61" s="7">
        <f>212+39</f>
        <v>251</v>
      </c>
      <c r="F61" s="7">
        <f>214+50</f>
        <v>264</v>
      </c>
      <c r="G61" s="5">
        <v>264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3" t="s">
        <v>53</v>
      </c>
      <c r="B63" s="4" t="s">
        <v>173</v>
      </c>
      <c r="C63" s="4" t="s">
        <v>174</v>
      </c>
      <c r="D63" s="4" t="s">
        <v>175</v>
      </c>
      <c r="E63" s="4" t="s">
        <v>176</v>
      </c>
      <c r="F63" s="4" t="s">
        <v>172</v>
      </c>
      <c r="G63" s="4" t="s">
        <v>177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5" t="s">
        <v>54</v>
      </c>
      <c r="B64" s="10">
        <v>50</v>
      </c>
      <c r="C64" s="10">
        <f>48+8</f>
        <v>56</v>
      </c>
      <c r="D64" s="10">
        <f>46+9</f>
        <v>55</v>
      </c>
      <c r="E64" s="7">
        <f>42+7</f>
        <v>49</v>
      </c>
      <c r="F64" s="7">
        <f>43+8</f>
        <v>51</v>
      </c>
      <c r="G64" s="5">
        <v>47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5" t="s">
        <v>55</v>
      </c>
      <c r="B65" s="5">
        <v>150</v>
      </c>
      <c r="C65" s="5">
        <f>123+41</f>
        <v>164</v>
      </c>
      <c r="D65" s="5">
        <f>121+39</f>
        <v>160</v>
      </c>
      <c r="E65" s="5">
        <f>114+35</f>
        <v>149</v>
      </c>
      <c r="F65" s="5">
        <f>111+36</f>
        <v>147</v>
      </c>
      <c r="G65" s="5">
        <v>140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5" t="s">
        <v>56</v>
      </c>
      <c r="B66" s="11">
        <v>88</v>
      </c>
      <c r="C66" s="11">
        <f>73+21</f>
        <v>94</v>
      </c>
      <c r="D66" s="11">
        <f>75+23</f>
        <v>98</v>
      </c>
      <c r="E66" s="5">
        <f>74+23</f>
        <v>97</v>
      </c>
      <c r="F66" s="5">
        <f>73+26</f>
        <v>99</v>
      </c>
      <c r="G66" s="5">
        <v>104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5" t="s">
        <v>57</v>
      </c>
      <c r="B67" s="5">
        <v>28</v>
      </c>
      <c r="C67" s="5">
        <f>19+6</f>
        <v>25</v>
      </c>
      <c r="D67" s="5">
        <f>20+6</f>
        <v>26</v>
      </c>
      <c r="E67" s="5">
        <f>19+6</f>
        <v>25</v>
      </c>
      <c r="F67" s="5">
        <f>18+6</f>
        <v>24</v>
      </c>
      <c r="G67" s="5">
        <v>25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5" t="s">
        <v>58</v>
      </c>
      <c r="B68" s="6">
        <v>106</v>
      </c>
      <c r="C68" s="6">
        <f>74+33</f>
        <v>107</v>
      </c>
      <c r="D68" s="6">
        <f>67+33</f>
        <v>100</v>
      </c>
      <c r="E68" s="5">
        <f>63+27</f>
        <v>90</v>
      </c>
      <c r="F68" s="5">
        <f>58+27</f>
        <v>85</v>
      </c>
      <c r="G68" s="5">
        <v>87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5" t="s">
        <v>59</v>
      </c>
      <c r="B69" s="5">
        <v>30</v>
      </c>
      <c r="C69" s="5">
        <f>20+6</f>
        <v>26</v>
      </c>
      <c r="D69" s="5">
        <f>16+6</f>
        <v>22</v>
      </c>
      <c r="E69" s="5">
        <f>14+6</f>
        <v>20</v>
      </c>
      <c r="F69" s="5">
        <f>14+5</f>
        <v>19</v>
      </c>
      <c r="G69" s="5">
        <v>16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0" x14ac:dyDescent="0.2">
      <c r="A70" s="5" t="s">
        <v>60</v>
      </c>
      <c r="B70" s="5">
        <v>245</v>
      </c>
      <c r="C70" s="5">
        <f>228+92</f>
        <v>320</v>
      </c>
      <c r="D70" s="5">
        <f>217+92</f>
        <v>309</v>
      </c>
      <c r="E70" s="5">
        <f>209+93</f>
        <v>302</v>
      </c>
      <c r="F70" s="5">
        <f>217+108</f>
        <v>325</v>
      </c>
      <c r="G70" s="5">
        <v>341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5" t="s">
        <v>61</v>
      </c>
      <c r="B71" s="10">
        <v>30</v>
      </c>
      <c r="C71" s="10">
        <f>28+5</f>
        <v>33</v>
      </c>
      <c r="D71" s="10">
        <f>24+4</f>
        <v>28</v>
      </c>
      <c r="E71" s="7">
        <f>24+4</f>
        <v>28</v>
      </c>
      <c r="F71" s="7">
        <f>22+4</f>
        <v>26</v>
      </c>
      <c r="G71" s="5">
        <v>26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5" t="s">
        <v>62</v>
      </c>
      <c r="B72" s="8">
        <v>149</v>
      </c>
      <c r="C72" s="8">
        <f>127+37</f>
        <v>164</v>
      </c>
      <c r="D72" s="8">
        <f>121+34</f>
        <v>155</v>
      </c>
      <c r="E72" s="5">
        <f>118+33</f>
        <v>151</v>
      </c>
      <c r="F72" s="5">
        <f>114+31</f>
        <v>145</v>
      </c>
      <c r="G72" s="5">
        <v>135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5" t="s">
        <v>63</v>
      </c>
      <c r="B73" s="5">
        <v>22</v>
      </c>
      <c r="C73" s="5">
        <f>19+2</f>
        <v>21</v>
      </c>
      <c r="D73" s="5">
        <f>16+3</f>
        <v>19</v>
      </c>
      <c r="E73" s="5">
        <f>13+2</f>
        <v>15</v>
      </c>
      <c r="F73" s="5">
        <f>13+2</f>
        <v>15</v>
      </c>
      <c r="G73" s="5">
        <v>15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5" t="s">
        <v>64</v>
      </c>
      <c r="B74" s="6">
        <v>64</v>
      </c>
      <c r="C74" s="6">
        <f>43+22</f>
        <v>65</v>
      </c>
      <c r="D74" s="6">
        <f>40+26</f>
        <v>66</v>
      </c>
      <c r="E74" s="5">
        <f>40+27</f>
        <v>67</v>
      </c>
      <c r="F74" s="5">
        <f>38+28</f>
        <v>66</v>
      </c>
      <c r="G74" s="5">
        <v>67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2" t="s">
        <v>65</v>
      </c>
      <c r="B75" s="5">
        <v>0</v>
      </c>
      <c r="C75" s="6">
        <f>3+0</f>
        <v>3</v>
      </c>
      <c r="D75" s="6">
        <f>4+2</f>
        <v>6</v>
      </c>
      <c r="E75" s="5">
        <f>4+2</f>
        <v>6</v>
      </c>
      <c r="F75" s="5">
        <f>5+1</f>
        <v>6</v>
      </c>
      <c r="G75" s="5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20" x14ac:dyDescent="0.2">
      <c r="A77" s="3" t="s">
        <v>66</v>
      </c>
      <c r="B77" s="4" t="s">
        <v>173</v>
      </c>
      <c r="C77" s="4" t="s">
        <v>174</v>
      </c>
      <c r="D77" s="4" t="s">
        <v>175</v>
      </c>
      <c r="E77" s="4" t="s">
        <v>176</v>
      </c>
      <c r="F77" s="4" t="s">
        <v>172</v>
      </c>
      <c r="G77" s="4" t="s">
        <v>177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20" x14ac:dyDescent="0.2">
      <c r="A78" s="5" t="s">
        <v>67</v>
      </c>
      <c r="B78" s="7">
        <v>31</v>
      </c>
      <c r="C78" s="7">
        <f>18+12</f>
        <v>30</v>
      </c>
      <c r="D78" s="7">
        <f>17+12</f>
        <v>29</v>
      </c>
      <c r="E78" s="7">
        <f>16+13</f>
        <v>29</v>
      </c>
      <c r="F78" s="7">
        <f>20+14</f>
        <v>34</v>
      </c>
      <c r="G78" s="5">
        <v>42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5" t="s">
        <v>68</v>
      </c>
      <c r="B79" s="7">
        <v>44</v>
      </c>
      <c r="C79" s="7">
        <f>33+16</f>
        <v>49</v>
      </c>
      <c r="D79" s="7">
        <f>32+16</f>
        <v>48</v>
      </c>
      <c r="E79" s="7">
        <f>33+17</f>
        <v>50</v>
      </c>
      <c r="F79" s="7">
        <f>35+19</f>
        <v>54</v>
      </c>
      <c r="G79" s="5">
        <v>66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5" t="s">
        <v>69</v>
      </c>
      <c r="B80" s="5">
        <v>276</v>
      </c>
      <c r="C80" s="5">
        <f>237+67</f>
        <v>304</v>
      </c>
      <c r="D80" s="5">
        <f>230+71</f>
        <v>301</v>
      </c>
      <c r="E80" s="5">
        <f>215+65</f>
        <v>280</v>
      </c>
      <c r="F80" s="5">
        <f>205+69</f>
        <v>274</v>
      </c>
      <c r="G80" s="5">
        <v>284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5" t="s">
        <v>70</v>
      </c>
      <c r="B81" s="8">
        <v>182</v>
      </c>
      <c r="C81" s="8">
        <f>138+58</f>
        <v>196</v>
      </c>
      <c r="D81" s="8">
        <f>129+55</f>
        <v>184</v>
      </c>
      <c r="E81" s="5">
        <f>123+50</f>
        <v>173</v>
      </c>
      <c r="F81" s="5">
        <f>116+51</f>
        <v>167</v>
      </c>
      <c r="G81" s="5">
        <v>161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5" t="s">
        <v>71</v>
      </c>
      <c r="B82" s="5">
        <v>90</v>
      </c>
      <c r="C82" s="5">
        <f>79+34</f>
        <v>113</v>
      </c>
      <c r="D82" s="5">
        <f>72+33</f>
        <v>105</v>
      </c>
      <c r="E82" s="5">
        <f>74+36</f>
        <v>110</v>
      </c>
      <c r="F82" s="5">
        <f>71+37</f>
        <v>108</v>
      </c>
      <c r="G82" s="5">
        <v>131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5" t="s">
        <v>72</v>
      </c>
      <c r="B83" s="9">
        <v>451</v>
      </c>
      <c r="C83" s="9">
        <f>355+137</f>
        <v>492</v>
      </c>
      <c r="D83" s="9">
        <f>366+175</f>
        <v>541</v>
      </c>
      <c r="E83" s="7">
        <f>339+168</f>
        <v>507</v>
      </c>
      <c r="F83" s="7">
        <f>328+170</f>
        <v>498</v>
      </c>
      <c r="G83" s="5">
        <v>513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5" t="s">
        <v>73</v>
      </c>
      <c r="B84" s="7">
        <v>264</v>
      </c>
      <c r="C84" s="7">
        <f>215+77</f>
        <v>292</v>
      </c>
      <c r="D84" s="7">
        <f>197+74</f>
        <v>271</v>
      </c>
      <c r="E84" s="7">
        <f>190+77</f>
        <v>267</v>
      </c>
      <c r="F84" s="7">
        <f>187+77</f>
        <v>264</v>
      </c>
      <c r="G84" s="5">
        <v>301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5" t="s">
        <v>74</v>
      </c>
      <c r="B85" s="7">
        <v>290</v>
      </c>
      <c r="C85" s="7">
        <f>274+56</f>
        <v>330</v>
      </c>
      <c r="D85" s="7">
        <f>252+54</f>
        <v>306</v>
      </c>
      <c r="E85" s="7">
        <f>244+50</f>
        <v>294</v>
      </c>
      <c r="F85" s="7">
        <f>271+56</f>
        <v>327</v>
      </c>
      <c r="G85" s="5">
        <v>364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5" t="s">
        <v>75</v>
      </c>
      <c r="B86" s="5">
        <v>255</v>
      </c>
      <c r="C86" s="5">
        <f>153+92</f>
        <v>245</v>
      </c>
      <c r="D86" s="5">
        <f>143+78</f>
        <v>221</v>
      </c>
      <c r="E86" s="5">
        <f>138+75</f>
        <v>213</v>
      </c>
      <c r="F86" s="5">
        <f>127+68</f>
        <v>195</v>
      </c>
      <c r="G86" s="5">
        <v>204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5" t="s">
        <v>76</v>
      </c>
      <c r="B87" s="7">
        <v>46</v>
      </c>
      <c r="C87" s="7">
        <f>40+10</f>
        <v>50</v>
      </c>
      <c r="D87" s="7">
        <f>41+11</f>
        <v>52</v>
      </c>
      <c r="E87" s="7">
        <f>40+10</f>
        <v>50</v>
      </c>
      <c r="F87" s="7">
        <f>39+8</f>
        <v>47</v>
      </c>
      <c r="G87" s="5">
        <v>52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5" t="s">
        <v>77</v>
      </c>
      <c r="B88" s="5">
        <v>22</v>
      </c>
      <c r="C88" s="5">
        <f>25+5</f>
        <v>30</v>
      </c>
      <c r="D88" s="5">
        <f>23+5</f>
        <v>28</v>
      </c>
      <c r="E88" s="5">
        <f>19+5</f>
        <v>24</v>
      </c>
      <c r="F88" s="5">
        <f>16+5</f>
        <v>21</v>
      </c>
      <c r="G88" s="5">
        <v>20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5" t="s">
        <v>78</v>
      </c>
      <c r="B89" s="5">
        <v>21</v>
      </c>
      <c r="C89" s="5">
        <f>15+14</f>
        <v>29</v>
      </c>
      <c r="D89" s="5">
        <f>14+15</f>
        <v>29</v>
      </c>
      <c r="E89" s="5">
        <f>16+16</f>
        <v>32</v>
      </c>
      <c r="F89" s="5">
        <f>14+15</f>
        <v>29</v>
      </c>
      <c r="G89" s="5">
        <v>25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5" t="s">
        <v>79</v>
      </c>
      <c r="B90" s="7">
        <v>151</v>
      </c>
      <c r="C90" s="7">
        <f>126+33</f>
        <v>159</v>
      </c>
      <c r="D90" s="7">
        <f>117+32</f>
        <v>149</v>
      </c>
      <c r="E90" s="7">
        <f>109+31</f>
        <v>140</v>
      </c>
      <c r="F90" s="7">
        <f>105+30</f>
        <v>135</v>
      </c>
      <c r="G90" s="5">
        <v>138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5" t="s">
        <v>80</v>
      </c>
      <c r="B91" s="5">
        <v>31</v>
      </c>
      <c r="C91" s="5">
        <f>16+11</f>
        <v>27</v>
      </c>
      <c r="D91" s="5">
        <f>15+10</f>
        <v>25</v>
      </c>
      <c r="E91" s="5">
        <f>14+8</f>
        <v>22</v>
      </c>
      <c r="F91" s="5">
        <f>11+7</f>
        <v>18</v>
      </c>
      <c r="G91" s="5">
        <v>18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5" t="s">
        <v>81</v>
      </c>
      <c r="B92" s="7">
        <v>119</v>
      </c>
      <c r="C92" s="7">
        <f>98+50</f>
        <v>148</v>
      </c>
      <c r="D92" s="7">
        <f>92+48</f>
        <v>140</v>
      </c>
      <c r="E92" s="7">
        <f>91+54</f>
        <v>145</v>
      </c>
      <c r="F92" s="7">
        <f>102+53</f>
        <v>155</v>
      </c>
      <c r="G92" s="5">
        <v>168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5" t="s">
        <v>82</v>
      </c>
      <c r="B93" s="5">
        <v>47</v>
      </c>
      <c r="C93" s="5">
        <f>37+8</f>
        <v>45</v>
      </c>
      <c r="D93" s="5">
        <f>33+8</f>
        <v>41</v>
      </c>
      <c r="E93" s="5">
        <f>31+8</f>
        <v>39</v>
      </c>
      <c r="F93" s="5">
        <f>28+8</f>
        <v>36</v>
      </c>
      <c r="G93" s="5">
        <v>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">
      <c r="A94" s="5" t="s">
        <v>83</v>
      </c>
      <c r="B94" s="7">
        <v>211</v>
      </c>
      <c r="C94" s="7">
        <f>116+98</f>
        <v>214</v>
      </c>
      <c r="D94" s="7">
        <f>104+94</f>
        <v>198</v>
      </c>
      <c r="E94" s="7">
        <f>108+101</f>
        <v>209</v>
      </c>
      <c r="F94" s="7">
        <f>107+109</f>
        <v>216</v>
      </c>
      <c r="G94" s="5">
        <v>233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4" t="s">
        <v>84</v>
      </c>
      <c r="B96" s="4" t="s">
        <v>173</v>
      </c>
      <c r="C96" s="4" t="s">
        <v>174</v>
      </c>
      <c r="D96" s="4" t="s">
        <v>175</v>
      </c>
      <c r="E96" s="4" t="s">
        <v>176</v>
      </c>
      <c r="F96" s="4" t="s">
        <v>172</v>
      </c>
      <c r="G96" s="4" t="s">
        <v>177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5" t="s">
        <v>85</v>
      </c>
      <c r="B97" s="5">
        <v>115</v>
      </c>
      <c r="C97" s="5">
        <f>119+22</f>
        <v>141</v>
      </c>
      <c r="D97" s="5">
        <f>116+19</f>
        <v>135</v>
      </c>
      <c r="E97" s="5">
        <f>118+20</f>
        <v>138</v>
      </c>
      <c r="F97" s="5">
        <f>116+21</f>
        <v>137</v>
      </c>
      <c r="G97" s="5">
        <v>143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5" t="s">
        <v>86</v>
      </c>
      <c r="B98" s="5">
        <v>199</v>
      </c>
      <c r="C98" s="5">
        <f>212+26</f>
        <v>238</v>
      </c>
      <c r="D98" s="5">
        <f>212+31</f>
        <v>243</v>
      </c>
      <c r="E98" s="5">
        <f>216+30</f>
        <v>246</v>
      </c>
      <c r="F98" s="5">
        <f>223+35</f>
        <v>258</v>
      </c>
      <c r="G98" s="5">
        <v>262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5" t="s">
        <v>87</v>
      </c>
      <c r="B99" s="6">
        <v>131</v>
      </c>
      <c r="C99" s="6">
        <f>122+28</f>
        <v>150</v>
      </c>
      <c r="D99" s="6">
        <f>120+30</f>
        <v>150</v>
      </c>
      <c r="E99" s="5">
        <f>117+29</f>
        <v>146</v>
      </c>
      <c r="F99" s="5">
        <f>118+30</f>
        <v>148</v>
      </c>
      <c r="G99" s="5">
        <v>154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5" t="s">
        <v>88</v>
      </c>
      <c r="B100" s="6">
        <v>82</v>
      </c>
      <c r="C100" s="6">
        <f>76+12</f>
        <v>88</v>
      </c>
      <c r="D100" s="6">
        <f>77+18</f>
        <v>95</v>
      </c>
      <c r="E100" s="5">
        <f>76+23</f>
        <v>99</v>
      </c>
      <c r="F100" s="5">
        <f>75+25</f>
        <v>100</v>
      </c>
      <c r="G100" s="5">
        <v>121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5" t="s">
        <v>89</v>
      </c>
      <c r="B101" s="5">
        <v>213</v>
      </c>
      <c r="C101" s="5">
        <f>189+55</f>
        <v>244</v>
      </c>
      <c r="D101" s="5">
        <f>196+60</f>
        <v>256</v>
      </c>
      <c r="E101" s="5">
        <f>200+63</f>
        <v>263</v>
      </c>
      <c r="F101" s="5">
        <f>195+64</f>
        <v>259</v>
      </c>
      <c r="G101" s="5">
        <v>257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20" x14ac:dyDescent="0.2">
      <c r="A102" s="5" t="s">
        <v>90</v>
      </c>
      <c r="B102" s="10">
        <v>115</v>
      </c>
      <c r="C102" s="10">
        <f>121+10</f>
        <v>131</v>
      </c>
      <c r="D102" s="10">
        <f>124+15</f>
        <v>139</v>
      </c>
      <c r="E102" s="7">
        <f>112+14</f>
        <v>126</v>
      </c>
      <c r="F102" s="7">
        <f>108+16</f>
        <v>124</v>
      </c>
      <c r="G102" s="5">
        <v>121</v>
      </c>
    </row>
    <row r="103" spans="1:20" x14ac:dyDescent="0.2">
      <c r="A103" s="5" t="s">
        <v>91</v>
      </c>
      <c r="B103" s="5">
        <v>73</v>
      </c>
      <c r="C103" s="5">
        <f>59+22</f>
        <v>81</v>
      </c>
      <c r="D103" s="5">
        <f>56+22</f>
        <v>78</v>
      </c>
      <c r="E103" s="5">
        <f>53+27</f>
        <v>80</v>
      </c>
      <c r="F103" s="5">
        <f>54+26</f>
        <v>80</v>
      </c>
      <c r="G103" s="5">
        <v>76</v>
      </c>
    </row>
    <row r="104" spans="1:20" x14ac:dyDescent="0.2">
      <c r="A104" s="5" t="s">
        <v>92</v>
      </c>
      <c r="B104" s="9">
        <v>196</v>
      </c>
      <c r="C104" s="9">
        <f>152+63</f>
        <v>215</v>
      </c>
      <c r="D104" s="9">
        <f>156+63</f>
        <v>219</v>
      </c>
      <c r="E104" s="7">
        <f>148+63</f>
        <v>211</v>
      </c>
      <c r="F104" s="7">
        <f>156+71</f>
        <v>227</v>
      </c>
      <c r="G104" s="5">
        <v>219</v>
      </c>
    </row>
    <row r="105" spans="1:20" x14ac:dyDescent="0.2">
      <c r="A105" s="5" t="s">
        <v>93</v>
      </c>
      <c r="B105" s="5">
        <v>1088</v>
      </c>
      <c r="C105" s="5">
        <f>1079+197</f>
        <v>1276</v>
      </c>
      <c r="D105" s="5">
        <f>1071+218</f>
        <v>1289</v>
      </c>
      <c r="E105" s="5">
        <f>1067+252</f>
        <v>1319</v>
      </c>
      <c r="F105" s="5">
        <f>1056+257</f>
        <v>1313</v>
      </c>
      <c r="G105" s="5">
        <v>1366</v>
      </c>
    </row>
    <row r="106" spans="1:20" x14ac:dyDescent="0.2">
      <c r="A106" s="5" t="s">
        <v>94</v>
      </c>
      <c r="B106" s="7">
        <v>324</v>
      </c>
      <c r="C106" s="7">
        <f>314+79</f>
        <v>393</v>
      </c>
      <c r="D106" s="7">
        <f>296+83</f>
        <v>379</v>
      </c>
      <c r="E106" s="7">
        <f>275+81</f>
        <v>356</v>
      </c>
      <c r="F106" s="7">
        <f>264+77</f>
        <v>341</v>
      </c>
      <c r="G106" s="5">
        <v>329</v>
      </c>
    </row>
    <row r="107" spans="1:20" x14ac:dyDescent="0.2">
      <c r="A107" s="5" t="s">
        <v>95</v>
      </c>
      <c r="B107" s="7">
        <v>356</v>
      </c>
      <c r="C107" s="7">
        <f>251+144</f>
        <v>395</v>
      </c>
      <c r="D107" s="7">
        <f>254+150</f>
        <v>404</v>
      </c>
      <c r="E107" s="7">
        <f>255+152</f>
        <v>407</v>
      </c>
      <c r="F107" s="7">
        <f>252+153</f>
        <v>405</v>
      </c>
      <c r="G107" s="5">
        <v>417</v>
      </c>
    </row>
    <row r="108" spans="1:20" x14ac:dyDescent="0.2">
      <c r="A108" s="1"/>
      <c r="B108" s="1"/>
      <c r="C108" s="1"/>
      <c r="D108" s="1"/>
      <c r="E108" s="1"/>
      <c r="F108" s="1"/>
      <c r="G108" s="1"/>
    </row>
    <row r="109" spans="1:20" x14ac:dyDescent="0.2">
      <c r="A109" s="4" t="s">
        <v>96</v>
      </c>
      <c r="B109" s="4" t="s">
        <v>173</v>
      </c>
      <c r="C109" s="4" t="s">
        <v>174</v>
      </c>
      <c r="D109" s="4" t="s">
        <v>175</v>
      </c>
      <c r="E109" s="4" t="s">
        <v>176</v>
      </c>
      <c r="F109" s="4" t="s">
        <v>172</v>
      </c>
      <c r="G109" s="4" t="s">
        <v>177</v>
      </c>
    </row>
    <row r="110" spans="1:20" x14ac:dyDescent="0.2">
      <c r="A110" s="5" t="s">
        <v>97</v>
      </c>
      <c r="B110" s="5">
        <v>128</v>
      </c>
      <c r="C110" s="5">
        <f>144+23</f>
        <v>167</v>
      </c>
      <c r="D110" s="5">
        <f>138+27</f>
        <v>165</v>
      </c>
      <c r="E110" s="5">
        <f>134+30</f>
        <v>164</v>
      </c>
      <c r="F110" s="5">
        <f>132+32</f>
        <v>164</v>
      </c>
      <c r="G110" s="5">
        <v>187</v>
      </c>
    </row>
    <row r="111" spans="1:20" x14ac:dyDescent="0.2">
      <c r="A111" s="5" t="s">
        <v>98</v>
      </c>
      <c r="B111" s="10">
        <v>229</v>
      </c>
      <c r="C111" s="10">
        <f>170+67</f>
        <v>237</v>
      </c>
      <c r="D111" s="10">
        <f>164+68</f>
        <v>232</v>
      </c>
      <c r="E111" s="7">
        <f>156+66</f>
        <v>222</v>
      </c>
      <c r="F111" s="7">
        <f>141+64</f>
        <v>205</v>
      </c>
      <c r="G111" s="5">
        <v>197</v>
      </c>
    </row>
    <row r="112" spans="1:20" x14ac:dyDescent="0.2">
      <c r="A112" s="5" t="s">
        <v>99</v>
      </c>
      <c r="B112" s="5">
        <v>179</v>
      </c>
      <c r="C112" s="5">
        <f>115+88</f>
        <v>203</v>
      </c>
      <c r="D112" s="5">
        <f>116+85</f>
        <v>201</v>
      </c>
      <c r="E112" s="5">
        <f>107+78</f>
        <v>185</v>
      </c>
      <c r="F112" s="5">
        <f>111+85</f>
        <v>196</v>
      </c>
      <c r="G112" s="5">
        <v>188</v>
      </c>
    </row>
    <row r="113" spans="1:7" x14ac:dyDescent="0.2">
      <c r="A113" s="5" t="s">
        <v>100</v>
      </c>
      <c r="B113" s="9">
        <v>130</v>
      </c>
      <c r="C113" s="9">
        <f>147+38</f>
        <v>185</v>
      </c>
      <c r="D113" s="9">
        <f>141+38</f>
        <v>179</v>
      </c>
      <c r="E113" s="7">
        <f>140+39</f>
        <v>179</v>
      </c>
      <c r="F113" s="7">
        <f>139+39</f>
        <v>178</v>
      </c>
      <c r="G113" s="5">
        <v>206</v>
      </c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4" t="s">
        <v>101</v>
      </c>
      <c r="B115" s="4" t="s">
        <v>173</v>
      </c>
      <c r="C115" s="4" t="s">
        <v>174</v>
      </c>
      <c r="D115" s="4" t="s">
        <v>175</v>
      </c>
      <c r="E115" s="4" t="s">
        <v>176</v>
      </c>
      <c r="F115" s="4" t="s">
        <v>172</v>
      </c>
      <c r="G115" s="4" t="s">
        <v>177</v>
      </c>
    </row>
    <row r="116" spans="1:7" x14ac:dyDescent="0.2">
      <c r="A116" s="5" t="s">
        <v>102</v>
      </c>
      <c r="B116" s="10">
        <v>150</v>
      </c>
      <c r="C116" s="10">
        <f>154+24</f>
        <v>178</v>
      </c>
      <c r="D116" s="10">
        <f>141+23</f>
        <v>164</v>
      </c>
      <c r="E116" s="7">
        <f>133+24</f>
        <v>157</v>
      </c>
      <c r="F116" s="7">
        <f>136+29</f>
        <v>165</v>
      </c>
      <c r="G116" s="5">
        <v>154</v>
      </c>
    </row>
    <row r="117" spans="1:7" x14ac:dyDescent="0.2">
      <c r="A117" s="5" t="s">
        <v>103</v>
      </c>
      <c r="B117" s="5">
        <v>186</v>
      </c>
      <c r="C117" s="5">
        <f>144+51</f>
        <v>195</v>
      </c>
      <c r="D117" s="5">
        <f>149+55</f>
        <v>204</v>
      </c>
      <c r="E117" s="5">
        <f>151+54</f>
        <v>205</v>
      </c>
      <c r="F117" s="5">
        <f>149+53</f>
        <v>202</v>
      </c>
      <c r="G117" s="5">
        <v>206</v>
      </c>
    </row>
    <row r="118" spans="1:7" x14ac:dyDescent="0.2">
      <c r="A118" s="5" t="s">
        <v>104</v>
      </c>
      <c r="B118" s="11">
        <v>457</v>
      </c>
      <c r="C118" s="11">
        <f>397+127</f>
        <v>524</v>
      </c>
      <c r="D118" s="11">
        <f>390+150</f>
        <v>540</v>
      </c>
      <c r="E118" s="5">
        <f>385+138</f>
        <v>523</v>
      </c>
      <c r="F118" s="5">
        <f>385+138</f>
        <v>523</v>
      </c>
      <c r="G118" s="5">
        <v>531</v>
      </c>
    </row>
    <row r="119" spans="1:7" x14ac:dyDescent="0.2">
      <c r="A119" s="5" t="s">
        <v>105</v>
      </c>
      <c r="B119" s="5">
        <v>55</v>
      </c>
      <c r="C119" s="5">
        <f>51+9</f>
        <v>60</v>
      </c>
      <c r="D119" s="5">
        <f>48+9</f>
        <v>57</v>
      </c>
      <c r="E119" s="5">
        <f>49+8</f>
        <v>57</v>
      </c>
      <c r="F119" s="5">
        <f>53+8</f>
        <v>61</v>
      </c>
      <c r="G119" s="5">
        <v>67</v>
      </c>
    </row>
    <row r="120" spans="1:7" x14ac:dyDescent="0.2">
      <c r="A120" s="1"/>
      <c r="B120" s="1"/>
      <c r="C120" s="1"/>
      <c r="D120" s="1"/>
      <c r="E120" s="1"/>
      <c r="F120" s="1"/>
      <c r="G120" s="1"/>
    </row>
    <row r="121" spans="1:7" x14ac:dyDescent="0.2">
      <c r="A121" s="4" t="s">
        <v>106</v>
      </c>
      <c r="B121" s="4" t="s">
        <v>173</v>
      </c>
      <c r="C121" s="4" t="s">
        <v>174</v>
      </c>
      <c r="D121" s="4" t="s">
        <v>175</v>
      </c>
      <c r="E121" s="4" t="s">
        <v>176</v>
      </c>
      <c r="F121" s="4" t="s">
        <v>172</v>
      </c>
      <c r="G121" s="4" t="s">
        <v>177</v>
      </c>
    </row>
    <row r="122" spans="1:7" x14ac:dyDescent="0.2">
      <c r="A122" s="5" t="s">
        <v>107</v>
      </c>
      <c r="B122" s="5">
        <v>74</v>
      </c>
      <c r="C122" s="5">
        <f>78+7</f>
        <v>85</v>
      </c>
      <c r="D122" s="5">
        <f>68+7</f>
        <v>75</v>
      </c>
      <c r="E122" s="5">
        <f>64+6</f>
        <v>70</v>
      </c>
      <c r="F122" s="5">
        <f>65+12</f>
        <v>77</v>
      </c>
      <c r="G122" s="5">
        <v>78</v>
      </c>
    </row>
    <row r="123" spans="1:7" x14ac:dyDescent="0.2">
      <c r="A123" s="5" t="s">
        <v>108</v>
      </c>
      <c r="B123" s="5">
        <v>0</v>
      </c>
      <c r="C123" s="7">
        <f>0+0</f>
        <v>0</v>
      </c>
      <c r="D123" s="5">
        <f>0+0</f>
        <v>0</v>
      </c>
      <c r="E123" s="7">
        <f>0+0</f>
        <v>0</v>
      </c>
      <c r="F123" s="7">
        <f>23+9</f>
        <v>32</v>
      </c>
      <c r="G123" s="5">
        <v>33</v>
      </c>
    </row>
    <row r="124" spans="1:7" x14ac:dyDescent="0.2">
      <c r="A124" s="5" t="s">
        <v>109</v>
      </c>
      <c r="B124" s="12">
        <v>400</v>
      </c>
      <c r="C124" s="12">
        <f>339+97</f>
        <v>436</v>
      </c>
      <c r="D124" s="12">
        <f>328+98</f>
        <v>426</v>
      </c>
      <c r="E124" s="7">
        <f>314+95</f>
        <v>409</v>
      </c>
      <c r="F124" s="7">
        <f>287+88</f>
        <v>375</v>
      </c>
      <c r="G124" s="5">
        <v>377</v>
      </c>
    </row>
    <row r="125" spans="1:7" x14ac:dyDescent="0.2">
      <c r="A125" s="5" t="s">
        <v>110</v>
      </c>
      <c r="B125" s="5">
        <v>105</v>
      </c>
      <c r="C125" s="5">
        <f>89+14</f>
        <v>103</v>
      </c>
      <c r="D125" s="5">
        <f>91+14</f>
        <v>105</v>
      </c>
      <c r="E125" s="5">
        <f>88+13</f>
        <v>101</v>
      </c>
      <c r="F125" s="5">
        <f>85+15</f>
        <v>100</v>
      </c>
      <c r="G125" s="5">
        <v>94</v>
      </c>
    </row>
    <row r="126" spans="1:7" x14ac:dyDescent="0.2">
      <c r="A126" s="5" t="s">
        <v>111</v>
      </c>
      <c r="B126" s="9">
        <v>107</v>
      </c>
      <c r="C126" s="9">
        <f>91+30</f>
        <v>121</v>
      </c>
      <c r="D126" s="9">
        <f>92+29</f>
        <v>121</v>
      </c>
      <c r="E126" s="7">
        <f>88+29</f>
        <v>117</v>
      </c>
      <c r="F126" s="7">
        <f>85+27</f>
        <v>112</v>
      </c>
      <c r="G126" s="5">
        <v>109</v>
      </c>
    </row>
    <row r="127" spans="1:7" x14ac:dyDescent="0.2">
      <c r="A127" s="5" t="s">
        <v>112</v>
      </c>
      <c r="B127" s="5">
        <v>104</v>
      </c>
      <c r="C127" s="5">
        <f>77+27</f>
        <v>104</v>
      </c>
      <c r="D127" s="5">
        <f>76+23</f>
        <v>99</v>
      </c>
      <c r="E127" s="5">
        <f>76+23</f>
        <v>99</v>
      </c>
      <c r="F127" s="5">
        <f>77+26</f>
        <v>103</v>
      </c>
      <c r="G127" s="5">
        <v>107</v>
      </c>
    </row>
    <row r="129" spans="1:7" x14ac:dyDescent="0.2">
      <c r="A129" s="4" t="s">
        <v>113</v>
      </c>
      <c r="B129" s="4" t="s">
        <v>173</v>
      </c>
      <c r="C129" s="4" t="s">
        <v>174</v>
      </c>
      <c r="D129" s="4" t="s">
        <v>175</v>
      </c>
      <c r="E129" s="4" t="s">
        <v>176</v>
      </c>
      <c r="F129" s="4" t="s">
        <v>172</v>
      </c>
      <c r="G129" s="4" t="s">
        <v>177</v>
      </c>
    </row>
    <row r="130" spans="1:7" x14ac:dyDescent="0.2">
      <c r="A130" s="5" t="s">
        <v>114</v>
      </c>
      <c r="B130" s="5">
        <v>40</v>
      </c>
      <c r="C130" s="5">
        <f>30+7</f>
        <v>37</v>
      </c>
      <c r="D130" s="5">
        <f>29+7</f>
        <v>36</v>
      </c>
      <c r="E130" s="5">
        <f>29+6</f>
        <v>35</v>
      </c>
      <c r="F130" s="5">
        <f>27+6</f>
        <v>33</v>
      </c>
      <c r="G130" s="5">
        <v>38</v>
      </c>
    </row>
    <row r="131" spans="1:7" x14ac:dyDescent="0.2">
      <c r="A131" s="5" t="s">
        <v>115</v>
      </c>
      <c r="B131" s="7">
        <v>27</v>
      </c>
      <c r="C131" s="7">
        <f>25+7</f>
        <v>32</v>
      </c>
      <c r="D131" s="7">
        <f>23+8</f>
        <v>31</v>
      </c>
      <c r="E131" s="7">
        <f>21+8</f>
        <v>29</v>
      </c>
      <c r="F131" s="7">
        <f>24+8</f>
        <v>32</v>
      </c>
      <c r="G131" s="5">
        <v>30</v>
      </c>
    </row>
    <row r="132" spans="1:7" x14ac:dyDescent="0.2">
      <c r="A132" s="5" t="s">
        <v>116</v>
      </c>
      <c r="B132" s="5">
        <v>106</v>
      </c>
      <c r="C132" s="5">
        <f>90+14</f>
        <v>104</v>
      </c>
      <c r="D132" s="5">
        <f>86+14</f>
        <v>100</v>
      </c>
      <c r="E132" s="5">
        <f>80+14</f>
        <v>94</v>
      </c>
      <c r="F132" s="5">
        <f>74+14</f>
        <v>88</v>
      </c>
      <c r="G132" s="5">
        <v>88</v>
      </c>
    </row>
    <row r="133" spans="1:7" x14ac:dyDescent="0.2">
      <c r="A133" s="5" t="s">
        <v>117</v>
      </c>
      <c r="B133" s="10">
        <v>266</v>
      </c>
      <c r="C133" s="10">
        <f>178+120</f>
        <v>298</v>
      </c>
      <c r="D133" s="10">
        <f>172+113</f>
        <v>285</v>
      </c>
      <c r="E133" s="7">
        <f>162+104</f>
        <v>266</v>
      </c>
      <c r="F133" s="7">
        <f>154+100</f>
        <v>254</v>
      </c>
      <c r="G133" s="5">
        <v>255</v>
      </c>
    </row>
    <row r="134" spans="1:7" x14ac:dyDescent="0.2">
      <c r="A134" s="5" t="s">
        <v>118</v>
      </c>
      <c r="B134" s="5">
        <v>38</v>
      </c>
      <c r="C134" s="5">
        <f>26+13</f>
        <v>39</v>
      </c>
      <c r="D134" s="5">
        <f>23+11</f>
        <v>34</v>
      </c>
      <c r="E134" s="5">
        <f>21+9</f>
        <v>30</v>
      </c>
      <c r="F134" s="5">
        <f>20+9</f>
        <v>29</v>
      </c>
      <c r="G134" s="5">
        <v>27</v>
      </c>
    </row>
    <row r="135" spans="1:7" x14ac:dyDescent="0.2">
      <c r="A135" s="2" t="s">
        <v>119</v>
      </c>
      <c r="B135" s="2">
        <v>0</v>
      </c>
      <c r="C135" s="5">
        <f>8+8</f>
        <v>16</v>
      </c>
      <c r="D135" s="5">
        <f>16+14</f>
        <v>30</v>
      </c>
      <c r="E135" s="5">
        <f>17+14</f>
        <v>31</v>
      </c>
      <c r="F135" s="5">
        <f>19+16</f>
        <v>35</v>
      </c>
      <c r="G135" s="5">
        <v>44</v>
      </c>
    </row>
    <row r="136" spans="1:7" x14ac:dyDescent="0.2">
      <c r="A136" s="1"/>
      <c r="B136" s="1"/>
      <c r="C136" s="1"/>
      <c r="D136" s="1"/>
      <c r="E136" s="1"/>
      <c r="F136" s="1"/>
      <c r="G136" s="1"/>
    </row>
    <row r="137" spans="1:7" x14ac:dyDescent="0.2">
      <c r="A137" s="3" t="s">
        <v>120</v>
      </c>
      <c r="B137" s="4" t="s">
        <v>173</v>
      </c>
      <c r="C137" s="4" t="s">
        <v>174</v>
      </c>
      <c r="D137" s="4" t="s">
        <v>175</v>
      </c>
      <c r="E137" s="4" t="s">
        <v>176</v>
      </c>
      <c r="F137" s="4" t="s">
        <v>172</v>
      </c>
      <c r="G137" s="4" t="s">
        <v>177</v>
      </c>
    </row>
    <row r="138" spans="1:7" x14ac:dyDescent="0.2">
      <c r="A138" s="5" t="s">
        <v>121</v>
      </c>
      <c r="B138" s="5">
        <v>134</v>
      </c>
      <c r="C138" s="5">
        <f>129+13</f>
        <v>142</v>
      </c>
      <c r="D138" s="5">
        <f>122+15</f>
        <v>137</v>
      </c>
      <c r="E138" s="5">
        <f>117+15</f>
        <v>132</v>
      </c>
      <c r="F138" s="5">
        <f>115+17</f>
        <v>132</v>
      </c>
      <c r="G138" s="5">
        <v>135</v>
      </c>
    </row>
    <row r="139" spans="1:7" x14ac:dyDescent="0.2">
      <c r="A139" s="5" t="s">
        <v>122</v>
      </c>
      <c r="B139" s="9">
        <v>84</v>
      </c>
      <c r="C139" s="9">
        <f>72+16</f>
        <v>88</v>
      </c>
      <c r="D139" s="9">
        <f>68+18</f>
        <v>86</v>
      </c>
      <c r="E139" s="7">
        <f>63+19</f>
        <v>82</v>
      </c>
      <c r="F139" s="7">
        <f>59+19</f>
        <v>78</v>
      </c>
      <c r="G139" s="5">
        <v>74</v>
      </c>
    </row>
    <row r="140" spans="1:7" x14ac:dyDescent="0.2">
      <c r="A140" s="5" t="s">
        <v>123</v>
      </c>
      <c r="B140" s="7">
        <v>29</v>
      </c>
      <c r="C140" s="7">
        <f>23+8</f>
        <v>31</v>
      </c>
      <c r="D140" s="7">
        <f>20+8</f>
        <v>28</v>
      </c>
      <c r="E140" s="7">
        <f>18+6</f>
        <v>24</v>
      </c>
      <c r="F140" s="7">
        <f>18+6</f>
        <v>24</v>
      </c>
      <c r="G140" s="5">
        <v>23</v>
      </c>
    </row>
    <row r="141" spans="1:7" x14ac:dyDescent="0.2">
      <c r="A141" s="5" t="s">
        <v>124</v>
      </c>
      <c r="B141" s="10">
        <v>204</v>
      </c>
      <c r="C141" s="10">
        <f>163+45</f>
        <v>208</v>
      </c>
      <c r="D141" s="10">
        <f>147+45</f>
        <v>192</v>
      </c>
      <c r="E141" s="7">
        <f>136+40</f>
        <v>176</v>
      </c>
      <c r="F141" s="7">
        <f>131+39</f>
        <v>170</v>
      </c>
      <c r="G141" s="5">
        <v>175</v>
      </c>
    </row>
    <row r="142" spans="1:7" x14ac:dyDescent="0.2">
      <c r="A142" s="5" t="s">
        <v>125</v>
      </c>
      <c r="B142" s="5">
        <v>189</v>
      </c>
      <c r="C142" s="5">
        <f>145+57</f>
        <v>202</v>
      </c>
      <c r="D142" s="5">
        <f>140+54</f>
        <v>194</v>
      </c>
      <c r="E142" s="5">
        <f>132+52</f>
        <v>184</v>
      </c>
      <c r="F142" s="5">
        <f>128+49</f>
        <v>177</v>
      </c>
      <c r="G142" s="5">
        <v>166</v>
      </c>
    </row>
    <row r="143" spans="1:7" x14ac:dyDescent="0.2">
      <c r="A143" s="1"/>
      <c r="B143" s="1"/>
      <c r="C143" s="1"/>
      <c r="D143" s="1"/>
      <c r="E143" s="1"/>
      <c r="F143" s="1"/>
      <c r="G143" s="1"/>
    </row>
    <row r="144" spans="1:7" x14ac:dyDescent="0.2">
      <c r="A144" s="3" t="s">
        <v>126</v>
      </c>
      <c r="B144" s="4" t="s">
        <v>173</v>
      </c>
      <c r="C144" s="4" t="s">
        <v>174</v>
      </c>
      <c r="D144" s="4" t="s">
        <v>175</v>
      </c>
      <c r="E144" s="4" t="s">
        <v>176</v>
      </c>
      <c r="F144" s="4" t="s">
        <v>172</v>
      </c>
      <c r="G144" s="4" t="s">
        <v>177</v>
      </c>
    </row>
    <row r="145" spans="1:7" x14ac:dyDescent="0.2">
      <c r="A145" s="5" t="s">
        <v>127</v>
      </c>
      <c r="B145" s="5">
        <v>113</v>
      </c>
      <c r="C145" s="5">
        <f>78+41</f>
        <v>119</v>
      </c>
      <c r="D145" s="5">
        <f>89+53</f>
        <v>142</v>
      </c>
      <c r="E145" s="5">
        <f>82+52</f>
        <v>134</v>
      </c>
      <c r="F145" s="5">
        <f>83+54</f>
        <v>137</v>
      </c>
      <c r="G145" s="5">
        <v>128</v>
      </c>
    </row>
    <row r="146" spans="1:7" x14ac:dyDescent="0.2">
      <c r="A146" s="5" t="s">
        <v>128</v>
      </c>
      <c r="B146" s="9">
        <v>119</v>
      </c>
      <c r="C146" s="9">
        <f>97+37</f>
        <v>134</v>
      </c>
      <c r="D146" s="9">
        <f>99+39</f>
        <v>138</v>
      </c>
      <c r="E146" s="7">
        <f>108+47</f>
        <v>155</v>
      </c>
      <c r="F146" s="7">
        <f>114+61</f>
        <v>175</v>
      </c>
      <c r="G146" s="5">
        <v>176</v>
      </c>
    </row>
    <row r="147" spans="1:7" x14ac:dyDescent="0.2">
      <c r="A147" s="5" t="s">
        <v>129</v>
      </c>
      <c r="B147" s="7">
        <v>397</v>
      </c>
      <c r="C147" s="7">
        <f>281+171</f>
        <v>452</v>
      </c>
      <c r="D147" s="7">
        <f>292+182</f>
        <v>474</v>
      </c>
      <c r="E147" s="7">
        <f>299+190</f>
        <v>489</v>
      </c>
      <c r="F147" s="7">
        <f>315+243</f>
        <v>558</v>
      </c>
      <c r="G147" s="5">
        <v>625</v>
      </c>
    </row>
    <row r="148" spans="1:7" x14ac:dyDescent="0.2">
      <c r="A148" s="1"/>
      <c r="B148" s="1"/>
      <c r="C148" s="1"/>
      <c r="D148" s="1"/>
      <c r="E148" s="1"/>
      <c r="F148" s="1"/>
      <c r="G148" s="1"/>
    </row>
    <row r="149" spans="1:7" x14ac:dyDescent="0.2">
      <c r="A149" s="4" t="s">
        <v>130</v>
      </c>
      <c r="B149" s="4" t="s">
        <v>173</v>
      </c>
      <c r="C149" s="4" t="s">
        <v>174</v>
      </c>
      <c r="D149" s="4" t="s">
        <v>175</v>
      </c>
      <c r="E149" s="4" t="s">
        <v>176</v>
      </c>
      <c r="F149" s="4" t="s">
        <v>172</v>
      </c>
      <c r="G149" s="4" t="s">
        <v>177</v>
      </c>
    </row>
    <row r="150" spans="1:7" x14ac:dyDescent="0.2">
      <c r="A150" s="5" t="s">
        <v>131</v>
      </c>
      <c r="B150" s="5">
        <v>123</v>
      </c>
      <c r="C150" s="5">
        <f>85+50</f>
        <v>135</v>
      </c>
      <c r="D150" s="5">
        <f>87+61</f>
        <v>148</v>
      </c>
      <c r="E150" s="5">
        <f>86+59</f>
        <v>145</v>
      </c>
      <c r="F150" s="5">
        <f>92+65</f>
        <v>157</v>
      </c>
      <c r="G150" s="5">
        <v>180</v>
      </c>
    </row>
    <row r="151" spans="1:7" x14ac:dyDescent="0.2">
      <c r="A151" s="5" t="s">
        <v>132</v>
      </c>
      <c r="B151" s="7">
        <v>165</v>
      </c>
      <c r="C151" s="7">
        <f>156+21</f>
        <v>177</v>
      </c>
      <c r="D151" s="7">
        <f>153+27</f>
        <v>180</v>
      </c>
      <c r="E151" s="7">
        <f>144+31</f>
        <v>175</v>
      </c>
      <c r="F151" s="7">
        <f>150+33</f>
        <v>183</v>
      </c>
      <c r="G151" s="5">
        <v>179</v>
      </c>
    </row>
    <row r="152" spans="1:7" x14ac:dyDescent="0.2">
      <c r="A152" s="5" t="s">
        <v>133</v>
      </c>
      <c r="B152" s="10">
        <v>362</v>
      </c>
      <c r="C152" s="10">
        <f>353+34</f>
        <v>387</v>
      </c>
      <c r="D152" s="10">
        <f>339+34</f>
        <v>373</v>
      </c>
      <c r="E152" s="7">
        <f>326+34</f>
        <v>360</v>
      </c>
      <c r="F152" s="7">
        <f>324+38</f>
        <v>362</v>
      </c>
      <c r="G152" s="5">
        <v>376</v>
      </c>
    </row>
    <row r="153" spans="1:7" x14ac:dyDescent="0.2">
      <c r="A153" s="5" t="s">
        <v>134</v>
      </c>
      <c r="B153" s="5">
        <v>94</v>
      </c>
      <c r="C153" s="5">
        <f>78+29</f>
        <v>107</v>
      </c>
      <c r="D153" s="5">
        <f>73+28</f>
        <v>101</v>
      </c>
      <c r="E153" s="5">
        <f>68+23</f>
        <v>91</v>
      </c>
      <c r="F153" s="5">
        <f>68+22</f>
        <v>90</v>
      </c>
      <c r="G153" s="5">
        <v>94</v>
      </c>
    </row>
    <row r="154" spans="1:7" x14ac:dyDescent="0.2">
      <c r="A154" s="5" t="s">
        <v>135</v>
      </c>
      <c r="B154" s="9">
        <v>43</v>
      </c>
      <c r="C154" s="9">
        <f>39+9</f>
        <v>48</v>
      </c>
      <c r="D154" s="9">
        <f>39+9</f>
        <v>48</v>
      </c>
      <c r="E154" s="7">
        <f>34+8</f>
        <v>42</v>
      </c>
      <c r="F154" s="7">
        <f>32+8</f>
        <v>40</v>
      </c>
      <c r="G154" s="5">
        <v>42</v>
      </c>
    </row>
    <row r="155" spans="1:7" x14ac:dyDescent="0.2">
      <c r="A155" s="5" t="s">
        <v>136</v>
      </c>
      <c r="B155" s="10">
        <v>607</v>
      </c>
      <c r="C155" s="10">
        <f>399+282</f>
        <v>681</v>
      </c>
      <c r="D155" s="10">
        <f>407+271</f>
        <v>678</v>
      </c>
      <c r="E155" s="7">
        <f>401+271</f>
        <v>672</v>
      </c>
      <c r="F155" s="7">
        <f>376+259</f>
        <v>635</v>
      </c>
      <c r="G155" s="5">
        <v>663</v>
      </c>
    </row>
    <row r="156" spans="1:7" x14ac:dyDescent="0.2">
      <c r="A156" s="5" t="s">
        <v>137</v>
      </c>
      <c r="B156" s="8">
        <v>89</v>
      </c>
      <c r="C156" s="8">
        <f>67+25</f>
        <v>92</v>
      </c>
      <c r="D156" s="8">
        <f>66+19</f>
        <v>85</v>
      </c>
      <c r="E156" s="5">
        <f>67+20</f>
        <v>87</v>
      </c>
      <c r="F156" s="5">
        <f>60+14</f>
        <v>74</v>
      </c>
      <c r="G156" s="5">
        <v>76</v>
      </c>
    </row>
    <row r="157" spans="1:7" x14ac:dyDescent="0.2">
      <c r="A157" s="5" t="s">
        <v>138</v>
      </c>
      <c r="B157" s="5">
        <v>112</v>
      </c>
      <c r="C157" s="5">
        <f>56+71</f>
        <v>127</v>
      </c>
      <c r="D157" s="5">
        <f>54+61</f>
        <v>115</v>
      </c>
      <c r="E157" s="5">
        <f>56+64</f>
        <v>120</v>
      </c>
      <c r="F157" s="5">
        <f>49+62</f>
        <v>111</v>
      </c>
      <c r="G157" s="5">
        <v>114</v>
      </c>
    </row>
    <row r="158" spans="1:7" x14ac:dyDescent="0.2">
      <c r="A158" s="5" t="s">
        <v>139</v>
      </c>
      <c r="B158" s="9">
        <v>264</v>
      </c>
      <c r="C158" s="9">
        <f>205+108</f>
        <v>313</v>
      </c>
      <c r="D158" s="9">
        <f>194+106</f>
        <v>300</v>
      </c>
      <c r="E158" s="7">
        <f>194+112</f>
        <v>306</v>
      </c>
      <c r="F158" s="7">
        <f>204+118</f>
        <v>322</v>
      </c>
      <c r="G158" s="5">
        <v>342</v>
      </c>
    </row>
    <row r="159" spans="1:7" x14ac:dyDescent="0.2">
      <c r="A159" s="5" t="s">
        <v>140</v>
      </c>
      <c r="B159" s="7">
        <v>98</v>
      </c>
      <c r="C159" s="7">
        <f>57+49</f>
        <v>106</v>
      </c>
      <c r="D159" s="7">
        <f>57+46</f>
        <v>103</v>
      </c>
      <c r="E159" s="7">
        <f>55+37</f>
        <v>92</v>
      </c>
      <c r="F159" s="7">
        <f>58+39</f>
        <v>97</v>
      </c>
      <c r="G159" s="5">
        <v>101</v>
      </c>
    </row>
    <row r="160" spans="1:7" x14ac:dyDescent="0.2">
      <c r="A160" s="5" t="s">
        <v>141</v>
      </c>
      <c r="B160" s="7">
        <v>190</v>
      </c>
      <c r="C160" s="7">
        <f>160+47</f>
        <v>207</v>
      </c>
      <c r="D160" s="7">
        <f>152+44</f>
        <v>196</v>
      </c>
      <c r="E160" s="7">
        <f>150+41</f>
        <v>191</v>
      </c>
      <c r="F160" s="7">
        <f>148+43</f>
        <v>191</v>
      </c>
      <c r="G160" s="5">
        <v>210</v>
      </c>
    </row>
    <row r="161" spans="1:7" x14ac:dyDescent="0.2">
      <c r="A161" s="5" t="s">
        <v>142</v>
      </c>
      <c r="B161" s="8">
        <v>69</v>
      </c>
      <c r="C161" s="8">
        <f>68+16</f>
        <v>84</v>
      </c>
      <c r="D161" s="8">
        <f>66+14</f>
        <v>80</v>
      </c>
      <c r="E161" s="5">
        <f>68+15</f>
        <v>83</v>
      </c>
      <c r="F161" s="5">
        <f>67+15</f>
        <v>82</v>
      </c>
      <c r="G161" s="5">
        <v>69</v>
      </c>
    </row>
    <row r="162" spans="1:7" x14ac:dyDescent="0.2">
      <c r="A162" s="5" t="s">
        <v>143</v>
      </c>
      <c r="B162" s="5">
        <v>111</v>
      </c>
      <c r="C162" s="5">
        <f>100+20</f>
        <v>120</v>
      </c>
      <c r="D162" s="5">
        <f>97+23</f>
        <v>120</v>
      </c>
      <c r="E162" s="5">
        <f>95+25</f>
        <v>120</v>
      </c>
      <c r="F162" s="5">
        <f>95+26</f>
        <v>121</v>
      </c>
      <c r="G162" s="5">
        <v>121</v>
      </c>
    </row>
    <row r="163" spans="1:7" x14ac:dyDescent="0.2">
      <c r="A163" s="5" t="s">
        <v>144</v>
      </c>
      <c r="B163" s="5">
        <v>179</v>
      </c>
      <c r="C163" s="5">
        <f>155+50</f>
        <v>205</v>
      </c>
      <c r="D163" s="5">
        <f>159+66</f>
        <v>225</v>
      </c>
      <c r="E163" s="5">
        <f>152+64</f>
        <v>216</v>
      </c>
      <c r="F163" s="5">
        <f>153+76</f>
        <v>229</v>
      </c>
      <c r="G163" s="5">
        <v>266</v>
      </c>
    </row>
    <row r="164" spans="1:7" x14ac:dyDescent="0.2">
      <c r="A164" s="5" t="s">
        <v>145</v>
      </c>
      <c r="B164" s="9">
        <v>127</v>
      </c>
      <c r="C164" s="9">
        <f>69+66</f>
        <v>135</v>
      </c>
      <c r="D164" s="9">
        <f>70+72</f>
        <v>142</v>
      </c>
      <c r="E164" s="7">
        <f>67+71</f>
        <v>138</v>
      </c>
      <c r="F164" s="7">
        <f>71+70</f>
        <v>141</v>
      </c>
      <c r="G164" s="5">
        <v>143</v>
      </c>
    </row>
    <row r="165" spans="1:7" x14ac:dyDescent="0.2">
      <c r="A165" s="5" t="s">
        <v>146</v>
      </c>
      <c r="B165" s="5">
        <v>23</v>
      </c>
      <c r="C165" s="5">
        <f>21+7</f>
        <v>28</v>
      </c>
      <c r="D165" s="5">
        <f>22+7</f>
        <v>29</v>
      </c>
      <c r="E165" s="5">
        <f>22+8</f>
        <v>30</v>
      </c>
      <c r="F165" s="5">
        <f>21+8</f>
        <v>29</v>
      </c>
      <c r="G165" s="5">
        <v>26</v>
      </c>
    </row>
    <row r="166" spans="1:7" x14ac:dyDescent="0.2">
      <c r="A166" s="5" t="s">
        <v>147</v>
      </c>
      <c r="B166" s="10">
        <f>26+26</f>
        <v>52</v>
      </c>
      <c r="C166" s="10">
        <f>31+32</f>
        <v>63</v>
      </c>
      <c r="D166" s="10">
        <f>32+32</f>
        <v>64</v>
      </c>
      <c r="E166" s="7">
        <f>35+32</f>
        <v>67</v>
      </c>
      <c r="F166" s="7">
        <f>36+34</f>
        <v>70</v>
      </c>
      <c r="G166" s="5">
        <v>74</v>
      </c>
    </row>
    <row r="167" spans="1:7" x14ac:dyDescent="0.2">
      <c r="A167" s="5" t="s">
        <v>148</v>
      </c>
      <c r="B167" s="5">
        <f>54+31</f>
        <v>85</v>
      </c>
      <c r="C167" s="5">
        <f>58+29</f>
        <v>87</v>
      </c>
      <c r="D167" s="5">
        <f>56+34</f>
        <v>90</v>
      </c>
      <c r="E167" s="5">
        <f>55+33</f>
        <v>88</v>
      </c>
      <c r="F167" s="5">
        <f>53+31</f>
        <v>84</v>
      </c>
      <c r="G167" s="5">
        <v>81</v>
      </c>
    </row>
    <row r="168" spans="1:7" x14ac:dyDescent="0.2">
      <c r="A168" s="5" t="s">
        <v>149</v>
      </c>
      <c r="B168" s="5">
        <f>83+25</f>
        <v>108</v>
      </c>
      <c r="C168" s="5">
        <f>92+25</f>
        <v>117</v>
      </c>
      <c r="D168" s="5">
        <f>86+28</f>
        <v>114</v>
      </c>
      <c r="E168" s="5">
        <f>78+27</f>
        <v>105</v>
      </c>
      <c r="F168" s="5">
        <f>63+23</f>
        <v>86</v>
      </c>
      <c r="G168" s="5">
        <v>79</v>
      </c>
    </row>
    <row r="169" spans="1:7" x14ac:dyDescent="0.2">
      <c r="A169" s="5" t="s">
        <v>150</v>
      </c>
      <c r="B169" s="5">
        <f>48+33</f>
        <v>81</v>
      </c>
      <c r="C169" s="5">
        <f>57+39</f>
        <v>96</v>
      </c>
      <c r="D169" s="5">
        <f>58+45</f>
        <v>103</v>
      </c>
      <c r="E169" s="5">
        <f>56+44</f>
        <v>100</v>
      </c>
      <c r="F169" s="5">
        <f>54+46</f>
        <v>100</v>
      </c>
      <c r="G169" s="5">
        <v>103</v>
      </c>
    </row>
    <row r="170" spans="1:7" x14ac:dyDescent="0.2">
      <c r="A170" s="5" t="s">
        <v>151</v>
      </c>
      <c r="B170" s="5">
        <f>23+7</f>
        <v>30</v>
      </c>
      <c r="C170" s="5">
        <f>30+11</f>
        <v>41</v>
      </c>
      <c r="D170" s="5">
        <f>27+12</f>
        <v>39</v>
      </c>
      <c r="E170" s="5">
        <f>27+14</f>
        <v>41</v>
      </c>
      <c r="F170" s="5">
        <f>32+12</f>
        <v>44</v>
      </c>
      <c r="G170" s="5">
        <v>44</v>
      </c>
    </row>
    <row r="171" spans="1:7" x14ac:dyDescent="0.2">
      <c r="A171" s="5" t="s">
        <v>152</v>
      </c>
      <c r="B171" s="5">
        <f>155+65</f>
        <v>220</v>
      </c>
      <c r="C171" s="5">
        <f>153+65</f>
        <v>218</v>
      </c>
      <c r="D171" s="5">
        <f>146+65</f>
        <v>211</v>
      </c>
      <c r="E171" s="5">
        <f>136+61</f>
        <v>197</v>
      </c>
      <c r="F171" s="5">
        <f>136+64</f>
        <v>200</v>
      </c>
      <c r="G171" s="5">
        <v>190</v>
      </c>
    </row>
    <row r="172" spans="1:7" x14ac:dyDescent="0.2">
      <c r="A172" s="5" t="s">
        <v>153</v>
      </c>
      <c r="B172" s="12">
        <f>76+24</f>
        <v>100</v>
      </c>
      <c r="C172" s="12">
        <f>78+29</f>
        <v>107</v>
      </c>
      <c r="D172" s="12">
        <f>86+31</f>
        <v>117</v>
      </c>
      <c r="E172" s="7">
        <f>86+41</f>
        <v>127</v>
      </c>
      <c r="F172" s="7">
        <f>82+40</f>
        <v>122</v>
      </c>
      <c r="G172" s="5">
        <v>127</v>
      </c>
    </row>
    <row r="173" spans="1:7" x14ac:dyDescent="0.2">
      <c r="A173" s="5" t="s">
        <v>154</v>
      </c>
      <c r="B173" s="5">
        <f>127+24</f>
        <v>151</v>
      </c>
      <c r="C173" s="5">
        <f>137+25</f>
        <v>162</v>
      </c>
      <c r="D173" s="5">
        <f>127+22</f>
        <v>149</v>
      </c>
      <c r="E173" s="5">
        <f>115+22</f>
        <v>137</v>
      </c>
      <c r="F173" s="5">
        <f>107+22</f>
        <v>129</v>
      </c>
      <c r="G173" s="5">
        <v>129</v>
      </c>
    </row>
    <row r="174" spans="1:7" x14ac:dyDescent="0.2">
      <c r="A174" s="5" t="s">
        <v>155</v>
      </c>
      <c r="B174" s="9">
        <f>87+35</f>
        <v>122</v>
      </c>
      <c r="C174" s="9">
        <f>96+36</f>
        <v>132</v>
      </c>
      <c r="D174" s="9">
        <f>92+35</f>
        <v>127</v>
      </c>
      <c r="E174" s="7">
        <f>94+35</f>
        <v>129</v>
      </c>
      <c r="F174" s="7">
        <f>96+34</f>
        <v>130</v>
      </c>
      <c r="G174" s="5">
        <v>131</v>
      </c>
    </row>
    <row r="175" spans="1:7" x14ac:dyDescent="0.2">
      <c r="A175" s="5" t="s">
        <v>156</v>
      </c>
      <c r="B175" s="7">
        <f>53+19</f>
        <v>72</v>
      </c>
      <c r="C175" s="7">
        <f>56+28</f>
        <v>84</v>
      </c>
      <c r="D175" s="7">
        <f>54+27</f>
        <v>81</v>
      </c>
      <c r="E175" s="7">
        <f>54+25</f>
        <v>79</v>
      </c>
      <c r="F175" s="7">
        <f>54+22</f>
        <v>76</v>
      </c>
      <c r="G175" s="5">
        <v>72</v>
      </c>
    </row>
    <row r="176" spans="1:7" x14ac:dyDescent="0.2">
      <c r="A176" s="5" t="s">
        <v>157</v>
      </c>
      <c r="B176" s="7">
        <f>250+170</f>
        <v>420</v>
      </c>
      <c r="C176" s="7">
        <f>283+163</f>
        <v>446</v>
      </c>
      <c r="D176" s="7">
        <f>277+160</f>
        <v>437</v>
      </c>
      <c r="E176" s="7">
        <f>261+156</f>
        <v>417</v>
      </c>
      <c r="F176" s="7">
        <f>252+145</f>
        <v>397</v>
      </c>
      <c r="G176" s="5">
        <v>406</v>
      </c>
    </row>
    <row r="177" spans="1:7" x14ac:dyDescent="0.2">
      <c r="A177" s="5" t="s">
        <v>158</v>
      </c>
      <c r="B177" s="7">
        <f>43+39</f>
        <v>82</v>
      </c>
      <c r="C177" s="7">
        <f>51+39</f>
        <v>90</v>
      </c>
      <c r="D177" s="7">
        <f>47+41</f>
        <v>88</v>
      </c>
      <c r="E177" s="7">
        <f>46+41</f>
        <v>87</v>
      </c>
      <c r="F177" s="7">
        <f>57+43</f>
        <v>100</v>
      </c>
      <c r="G177" s="5">
        <v>95</v>
      </c>
    </row>
    <row r="178" spans="1:7" x14ac:dyDescent="0.2">
      <c r="A178" s="1"/>
      <c r="B178" s="1"/>
      <c r="C178" s="1"/>
      <c r="D178" s="1"/>
      <c r="E178" s="1"/>
      <c r="F178" s="1"/>
      <c r="G178" s="1"/>
    </row>
    <row r="179" spans="1:7" x14ac:dyDescent="0.2">
      <c r="A179" s="3" t="s">
        <v>159</v>
      </c>
      <c r="B179" s="4" t="s">
        <v>173</v>
      </c>
      <c r="C179" s="4" t="s">
        <v>174</v>
      </c>
      <c r="D179" s="4" t="s">
        <v>175</v>
      </c>
      <c r="E179" s="4" t="s">
        <v>176</v>
      </c>
      <c r="F179" s="4" t="s">
        <v>172</v>
      </c>
      <c r="G179" s="4" t="s">
        <v>177</v>
      </c>
    </row>
    <row r="180" spans="1:7" x14ac:dyDescent="0.2">
      <c r="A180" s="5" t="s">
        <v>160</v>
      </c>
      <c r="B180" s="5">
        <f>156+54</f>
        <v>210</v>
      </c>
      <c r="C180" s="5">
        <f>168+56</f>
        <v>224</v>
      </c>
      <c r="D180" s="5">
        <f>161+52</f>
        <v>213</v>
      </c>
      <c r="E180" s="5">
        <f>147+52</f>
        <v>199</v>
      </c>
      <c r="F180" s="5">
        <f>137+49</f>
        <v>186</v>
      </c>
      <c r="G180" s="5">
        <v>175</v>
      </c>
    </row>
    <row r="181" spans="1:7" x14ac:dyDescent="0.2">
      <c r="A181" s="5" t="s">
        <v>161</v>
      </c>
      <c r="B181" s="6">
        <f>137+49</f>
        <v>186</v>
      </c>
      <c r="C181" s="6">
        <f>151+56</f>
        <v>207</v>
      </c>
      <c r="D181" s="6">
        <f>140+55</f>
        <v>195</v>
      </c>
      <c r="E181" s="5">
        <f>134+53</f>
        <v>187</v>
      </c>
      <c r="F181" s="5">
        <f>131+58</f>
        <v>189</v>
      </c>
      <c r="G181" s="5">
        <v>195</v>
      </c>
    </row>
    <row r="182" spans="1:7" x14ac:dyDescent="0.2">
      <c r="A182" s="5" t="s">
        <v>162</v>
      </c>
      <c r="B182" s="9">
        <f>290+85</f>
        <v>375</v>
      </c>
      <c r="C182" s="9">
        <f>327+91</f>
        <v>418</v>
      </c>
      <c r="D182" s="9">
        <f>313+94</f>
        <v>407</v>
      </c>
      <c r="E182" s="7">
        <f>307+99</f>
        <v>406</v>
      </c>
      <c r="F182" s="7">
        <f>312+110</f>
        <v>422</v>
      </c>
      <c r="G182" s="5">
        <v>427</v>
      </c>
    </row>
    <row r="183" spans="1:7" x14ac:dyDescent="0.2">
      <c r="A183" s="1"/>
      <c r="B183" s="1"/>
      <c r="C183" s="1"/>
      <c r="D183" s="1"/>
      <c r="E183" s="1"/>
      <c r="F183" s="1"/>
      <c r="G183" s="1"/>
    </row>
    <row r="184" spans="1:7" x14ac:dyDescent="0.2">
      <c r="A184" s="4" t="s">
        <v>163</v>
      </c>
      <c r="B184" s="4" t="s">
        <v>173</v>
      </c>
      <c r="C184" s="4" t="s">
        <v>174</v>
      </c>
      <c r="D184" s="4" t="s">
        <v>175</v>
      </c>
      <c r="E184" s="4" t="s">
        <v>176</v>
      </c>
      <c r="F184" s="4" t="s">
        <v>172</v>
      </c>
      <c r="G184" s="4" t="s">
        <v>177</v>
      </c>
    </row>
    <row r="185" spans="1:7" x14ac:dyDescent="0.2">
      <c r="A185" s="5" t="s">
        <v>164</v>
      </c>
      <c r="B185" s="5">
        <f>79+18</f>
        <v>97</v>
      </c>
      <c r="C185" s="5">
        <f>87+18</f>
        <v>105</v>
      </c>
      <c r="D185" s="5">
        <f>89+23</f>
        <v>112</v>
      </c>
      <c r="E185" s="5">
        <f>86+24</f>
        <v>110</v>
      </c>
      <c r="F185" s="5">
        <f>81+25</f>
        <v>106</v>
      </c>
      <c r="G185" s="5">
        <v>109</v>
      </c>
    </row>
    <row r="186" spans="1:7" x14ac:dyDescent="0.2">
      <c r="A186" s="5" t="s">
        <v>165</v>
      </c>
      <c r="B186" s="5">
        <f>38+26</f>
        <v>64</v>
      </c>
      <c r="C186" s="5">
        <f>40+32</f>
        <v>72</v>
      </c>
      <c r="D186" s="5">
        <f>45+35</f>
        <v>80</v>
      </c>
      <c r="E186" s="5">
        <f>45+38</f>
        <v>83</v>
      </c>
      <c r="F186" s="5">
        <f>44+38</f>
        <v>82</v>
      </c>
      <c r="G186" s="5">
        <v>81</v>
      </c>
    </row>
    <row r="187" spans="1:7" x14ac:dyDescent="0.2">
      <c r="A187" s="5" t="s">
        <v>166</v>
      </c>
      <c r="B187" s="10">
        <f>191+52</f>
        <v>243</v>
      </c>
      <c r="C187" s="10">
        <f>214+110</f>
        <v>324</v>
      </c>
      <c r="D187" s="10">
        <f>215+124</f>
        <v>339</v>
      </c>
      <c r="E187" s="7">
        <f>212+133</f>
        <v>345</v>
      </c>
      <c r="F187" s="7">
        <f>210+128</f>
        <v>338</v>
      </c>
      <c r="G187" s="5">
        <v>322</v>
      </c>
    </row>
    <row r="188" spans="1:7" x14ac:dyDescent="0.2">
      <c r="A188" s="5" t="s">
        <v>167</v>
      </c>
      <c r="B188" s="5">
        <f>77+37</f>
        <v>114</v>
      </c>
      <c r="C188" s="5">
        <f>86+42</f>
        <v>128</v>
      </c>
      <c r="D188" s="5">
        <f>78+41</f>
        <v>119</v>
      </c>
      <c r="E188" s="5">
        <f>77+36</f>
        <v>113</v>
      </c>
      <c r="F188" s="5">
        <f>76+42</f>
        <v>118</v>
      </c>
      <c r="G188" s="5">
        <v>129</v>
      </c>
    </row>
    <row r="189" spans="1:7" x14ac:dyDescent="0.2">
      <c r="A189" s="5" t="s">
        <v>168</v>
      </c>
      <c r="B189" s="9">
        <f>95+33</f>
        <v>128</v>
      </c>
      <c r="C189" s="9">
        <f>114+34</f>
        <v>148</v>
      </c>
      <c r="D189" s="9">
        <f>107+30</f>
        <v>137</v>
      </c>
      <c r="E189" s="7">
        <f>105+25</f>
        <v>130</v>
      </c>
      <c r="F189" s="7">
        <f>117+29</f>
        <v>146</v>
      </c>
      <c r="G189" s="5">
        <v>141</v>
      </c>
    </row>
    <row r="190" spans="1:7" x14ac:dyDescent="0.2">
      <c r="A190" s="5" t="s">
        <v>169</v>
      </c>
      <c r="B190" s="5">
        <f>276+14</f>
        <v>290</v>
      </c>
      <c r="C190" s="5">
        <f>279+157</f>
        <v>436</v>
      </c>
      <c r="D190" s="5">
        <f>280+149</f>
        <v>429</v>
      </c>
      <c r="E190" s="5">
        <f>264+145</f>
        <v>409</v>
      </c>
      <c r="F190" s="5">
        <f>277+151</f>
        <v>428</v>
      </c>
      <c r="G190" s="5">
        <v>453</v>
      </c>
    </row>
    <row r="191" spans="1:7" x14ac:dyDescent="0.2">
      <c r="A191" s="5" t="s">
        <v>170</v>
      </c>
      <c r="B191" s="7">
        <f>62+36</f>
        <v>98</v>
      </c>
      <c r="C191" s="7">
        <f>66+40</f>
        <v>106</v>
      </c>
      <c r="D191" s="7">
        <f>79+48</f>
        <v>127</v>
      </c>
      <c r="E191" s="7">
        <f>78+58</f>
        <v>136</v>
      </c>
      <c r="F191" s="7">
        <f>81+64</f>
        <v>145</v>
      </c>
      <c r="G191" s="5">
        <v>126</v>
      </c>
    </row>
    <row r="192" spans="1:7" x14ac:dyDescent="0.2">
      <c r="A192" s="5" t="s">
        <v>171</v>
      </c>
      <c r="B192" s="5">
        <v>0</v>
      </c>
      <c r="C192" s="7">
        <f>0+0</f>
        <v>0</v>
      </c>
      <c r="D192" s="5">
        <f>0+0</f>
        <v>0</v>
      </c>
      <c r="E192" s="7">
        <f>0+0</f>
        <v>0</v>
      </c>
      <c r="F192" s="7">
        <f>0+0</f>
        <v>0</v>
      </c>
      <c r="G192" s="5">
        <v>50</v>
      </c>
    </row>
    <row r="193" spans="1:7" x14ac:dyDescent="0.2">
      <c r="A193" s="1"/>
      <c r="B193" s="1"/>
      <c r="C193" s="1"/>
      <c r="D193" s="1"/>
      <c r="E193" s="1"/>
      <c r="F193" s="1"/>
      <c r="G193" s="1"/>
    </row>
    <row r="194" spans="1:7" x14ac:dyDescent="0.2">
      <c r="A194" s="1"/>
      <c r="B194" s="1"/>
      <c r="C194" s="1"/>
      <c r="D194" s="1"/>
      <c r="E194" s="1"/>
    </row>
    <row r="195" spans="1:7" ht="31" x14ac:dyDescent="0.2">
      <c r="A195" s="13" t="s">
        <v>178</v>
      </c>
      <c r="B195" s="1"/>
      <c r="C195" s="1"/>
      <c r="D195" s="1"/>
      <c r="E195" s="1"/>
    </row>
    <row r="196" spans="1:7" x14ac:dyDescent="0.2">
      <c r="A196" s="1"/>
      <c r="B196" s="1"/>
      <c r="C196" s="1"/>
      <c r="D196" s="1"/>
      <c r="E196" s="1"/>
    </row>
    <row r="197" spans="1:7" x14ac:dyDescent="0.2">
      <c r="A197" s="1"/>
      <c r="B197" s="1"/>
      <c r="C197" s="1"/>
    </row>
    <row r="199" spans="1:7" x14ac:dyDescent="0.2">
      <c r="A199" s="1"/>
    </row>
    <row r="200" spans="1:7" ht="15" customHeight="1" x14ac:dyDescent="0.2"/>
    <row r="201" spans="1:7" ht="15" customHeight="1" x14ac:dyDescent="0.2"/>
  </sheetData>
  <pageMargins left="0.7" right="0.7" top="0.75" bottom="0.75" header="0.3" footer="0.3"/>
  <pageSetup paperSize="9" orientation="portrait" verticalDpi="0" r:id="rId1"/>
  <ignoredErrors>
    <ignoredError sqref="D87 D36 D67 E8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CFE76DEE0CF478F7A98F1C783C8D8" ma:contentTypeVersion="16" ma:contentTypeDescription="Create a new document." ma:contentTypeScope="" ma:versionID="b43c5a0f43a958f7b8301d6620256123">
  <xsd:schema xmlns:xsd="http://www.w3.org/2001/XMLSchema" xmlns:xs="http://www.w3.org/2001/XMLSchema" xmlns:p="http://schemas.microsoft.com/office/2006/metadata/properties" xmlns:ns2="82ea3608-32f7-42aa-805b-d4d5308230e4" xmlns:ns3="89d059c3-177f-455d-af99-82d115c60f5d" targetNamespace="http://schemas.microsoft.com/office/2006/metadata/properties" ma:root="true" ma:fieldsID="1d2adcfc95187990c34840306cc6073a" ns2:_="" ns3:_="">
    <xsd:import namespace="82ea3608-32f7-42aa-805b-d4d5308230e4"/>
    <xsd:import namespace="89d059c3-177f-455d-af99-82d115c60f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TaxKeywordTaxHTField" minOccurs="0"/>
                <xsd:element ref="ns2:TaxCatchAll" minOccurs="0"/>
                <xsd:element ref="ns3:Kommentar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a3608-32f7-42aa-805b-d4d5308230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f38ff596-474c-49e4-9f69-0c02e762fc2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eab8fa99-2ed1-4075-a740-a096d379b5bf}" ma:internalName="TaxCatchAll" ma:showField="CatchAllData" ma:web="82ea3608-32f7-42aa-805b-d4d5308230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059c3-177f-455d-af99-82d115c60f5d" elementFormDefault="qualified">
    <xsd:import namespace="http://schemas.microsoft.com/office/2006/documentManagement/types"/>
    <xsd:import namespace="http://schemas.microsoft.com/office/infopath/2007/PartnerControls"/>
    <xsd:element name="Kommentar" ma:index="13" nillable="true" ma:displayName="Kommentar" ma:internalName="Kommentar">
      <xsd:simpleType>
        <xsd:restriction base="dms:Note"/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ea3608-32f7-42aa-805b-d4d5308230e4"/>
    <TaxKeywordTaxHTField xmlns="82ea3608-32f7-42aa-805b-d4d5308230e4">
      <Terms xmlns="http://schemas.microsoft.com/office/infopath/2007/PartnerControls"/>
    </TaxKeywordTaxHTField>
    <Kommentar xmlns="89d059c3-177f-455d-af99-82d115c60f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A2F04-23A0-430E-A94F-C3C936040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a3608-32f7-42aa-805b-d4d5308230e4"/>
    <ds:schemaRef ds:uri="89d059c3-177f-455d-af99-82d115c60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610F09-F8CE-4DFE-B869-FE6895200A3E}">
  <ds:schemaRefs>
    <ds:schemaRef ds:uri="http://schemas.microsoft.com/office/2006/metadata/properties"/>
    <ds:schemaRef ds:uri="http://schemas.microsoft.com/office/infopath/2007/PartnerControls"/>
    <ds:schemaRef ds:uri="82ea3608-32f7-42aa-805b-d4d5308230e4"/>
    <ds:schemaRef ds:uri="89d059c3-177f-455d-af99-82d115c60f5d"/>
  </ds:schemaRefs>
</ds:datastoreItem>
</file>

<file path=customXml/itemProps3.xml><?xml version="1.0" encoding="utf-8"?>
<ds:datastoreItem xmlns:ds="http://schemas.openxmlformats.org/officeDocument/2006/customXml" ds:itemID="{8ACA7E0D-F437-4764-A704-C9FFAC4D37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Lokalföreningar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2023-10-24T09:11:11Z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0x010100DC7CFE76DEE0CF478F7A98F1C783C8D8</vt:lpwstr>
  </property>
  <property fmtid="{D5CDD505-2E9C-101B-9397-08002B2CF9AE}" pid="3" name="TaxKeyword">
    <vt:lpwstr/>
  </property>
</Properties>
</file>